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W&amp;M\"/>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'3-Academic-Financial'!$A$1:$L$58</definedName>
    <definedName name="_xlnm.Print_Area" localSheetId="5">'4-GF Request'!$A$1:$H$15</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62913"/>
</workbook>
</file>

<file path=xl/calcChain.xml><?xml version="1.0" encoding="utf-8"?>
<calcChain xmlns="http://schemas.openxmlformats.org/spreadsheetml/2006/main">
  <c r="G15" i="21" l="1"/>
  <c r="F15" i="21"/>
  <c r="E15" i="21"/>
  <c r="D15" i="21"/>
  <c r="H45" i="5" l="1"/>
  <c r="I45" i="5" s="1"/>
  <c r="G45" i="5"/>
  <c r="F45" i="5"/>
  <c r="D45" i="5"/>
  <c r="I12" i="5" l="1"/>
  <c r="H12" i="5"/>
  <c r="G12" i="5"/>
  <c r="E12" i="5"/>
  <c r="H11" i="5"/>
  <c r="E11" i="5"/>
  <c r="I38" i="5" l="1"/>
  <c r="G38" i="5"/>
  <c r="I34" i="5"/>
  <c r="G34" i="5"/>
  <c r="I32" i="5"/>
  <c r="G32" i="5"/>
  <c r="E12" i="2" l="1"/>
  <c r="E11" i="2"/>
  <c r="E10" i="2"/>
  <c r="E9" i="2"/>
  <c r="E8" i="2"/>
  <c r="E7" i="2"/>
  <c r="C21" i="2"/>
  <c r="C12" i="2"/>
  <c r="C11" i="2"/>
  <c r="C10" i="2"/>
  <c r="C9" i="2"/>
  <c r="C8" i="2"/>
  <c r="C7" i="2"/>
  <c r="D12" i="2"/>
  <c r="D11" i="2"/>
  <c r="D10" i="2"/>
  <c r="D9" i="2"/>
  <c r="D8" i="2"/>
  <c r="D7" i="2"/>
  <c r="F52" i="28" l="1"/>
  <c r="F51" i="28"/>
  <c r="F39" i="28"/>
  <c r="F38" i="28"/>
  <c r="I43" i="5" l="1"/>
  <c r="G43" i="5"/>
  <c r="I42" i="5"/>
  <c r="G42" i="5"/>
  <c r="F14" i="21" l="1"/>
  <c r="D14" i="21"/>
  <c r="E25" i="28" l="1"/>
  <c r="E38" i="28" s="1"/>
  <c r="E51" i="28" s="1"/>
  <c r="E26" i="28"/>
  <c r="E39" i="28" s="1"/>
  <c r="E52" i="28" s="1"/>
  <c r="G39" i="28" l="1"/>
  <c r="G52" i="28" s="1"/>
  <c r="G38" i="28"/>
  <c r="G51" i="28" s="1"/>
  <c r="G56" i="28"/>
  <c r="G55" i="28"/>
  <c r="G54" i="28"/>
  <c r="G53" i="28"/>
  <c r="G43" i="28"/>
  <c r="G42" i="28"/>
  <c r="G41" i="28"/>
  <c r="G40" i="28"/>
  <c r="G30" i="28"/>
  <c r="G29" i="28"/>
  <c r="G28" i="28"/>
  <c r="G27" i="28"/>
  <c r="G26" i="28"/>
  <c r="G25" i="28"/>
  <c r="F26" i="28"/>
  <c r="F25" i="28"/>
  <c r="E56" i="28"/>
  <c r="E55" i="28"/>
  <c r="E54" i="28"/>
  <c r="E53" i="28"/>
  <c r="E43" i="28"/>
  <c r="E42" i="28"/>
  <c r="E41" i="28"/>
  <c r="E40" i="28"/>
  <c r="E30" i="2" l="1"/>
  <c r="D30" i="2"/>
  <c r="E28" i="2"/>
  <c r="E27" i="2"/>
  <c r="D28" i="2"/>
  <c r="D27" i="2"/>
  <c r="C28" i="2" l="1"/>
  <c r="C27" i="2"/>
  <c r="G15" i="28" l="1"/>
  <c r="G14" i="28"/>
  <c r="G13" i="28"/>
  <c r="G12" i="28"/>
  <c r="C17" i="28" l="1"/>
  <c r="C16" i="28"/>
  <c r="C15" i="28"/>
  <c r="C14" i="28"/>
  <c r="C12" i="28"/>
  <c r="C13" i="28"/>
  <c r="I12" i="28" l="1"/>
  <c r="D9" i="29"/>
  <c r="B9" i="29"/>
  <c r="D15" i="29" l="1"/>
  <c r="B15" i="29"/>
  <c r="D40" i="5" l="1"/>
  <c r="E40" i="5"/>
  <c r="F40" i="5"/>
  <c r="G40" i="5"/>
  <c r="H40" i="5"/>
  <c r="I40" i="5"/>
  <c r="E15" i="29" l="1"/>
  <c r="E9" i="29"/>
  <c r="C9" i="29"/>
  <c r="C15" i="29"/>
  <c r="A2" i="29" l="1"/>
  <c r="A2" i="28" l="1"/>
  <c r="F56" i="28"/>
  <c r="F55" i="28"/>
  <c r="F54" i="28"/>
  <c r="F53" i="28"/>
  <c r="F43" i="28"/>
  <c r="F42" i="28"/>
  <c r="F41" i="28"/>
  <c r="F40" i="28"/>
  <c r="F44" i="28"/>
  <c r="F30" i="28"/>
  <c r="F29" i="28"/>
  <c r="F28" i="28"/>
  <c r="F27" i="28"/>
  <c r="G17" i="28"/>
  <c r="F17" i="28"/>
  <c r="D17" i="28"/>
  <c r="F16" i="28"/>
  <c r="D16" i="28"/>
  <c r="D15" i="28"/>
  <c r="D14" i="28"/>
  <c r="J12" i="28"/>
  <c r="D12" i="28"/>
  <c r="G57" i="28" l="1"/>
  <c r="F18" i="28"/>
  <c r="C18" i="28"/>
  <c r="D18" i="28" s="1"/>
  <c r="G31" i="28"/>
  <c r="D13" i="28"/>
  <c r="E18" i="28"/>
  <c r="G44" i="28"/>
  <c r="F57" i="28"/>
  <c r="G18" i="28"/>
  <c r="E31" i="28"/>
  <c r="E44" i="28"/>
  <c r="E57" i="28"/>
  <c r="F31" i="28"/>
  <c r="E32" i="5"/>
  <c r="H43" i="5" l="1"/>
  <c r="E43" i="5"/>
  <c r="H46" i="5"/>
  <c r="E46" i="5"/>
  <c r="F37" i="5"/>
  <c r="D37" i="5" s="1"/>
  <c r="A2" i="21"/>
  <c r="H47" i="5"/>
  <c r="H44" i="5"/>
  <c r="I44" i="5"/>
  <c r="H42" i="5"/>
  <c r="H41" i="5"/>
  <c r="H38" i="5"/>
  <c r="H36" i="5"/>
  <c r="H34" i="5"/>
  <c r="H32" i="5"/>
  <c r="E47" i="5"/>
  <c r="E44" i="5"/>
  <c r="E42" i="5"/>
  <c r="E41" i="5"/>
  <c r="E38" i="5"/>
  <c r="E36" i="5"/>
  <c r="E34" i="5"/>
  <c r="H23" i="5"/>
  <c r="H22" i="5"/>
  <c r="H21" i="5"/>
  <c r="H20" i="5"/>
  <c r="H19" i="5"/>
  <c r="H18" i="5"/>
  <c r="H17" i="5"/>
  <c r="H16" i="5"/>
  <c r="E23" i="5"/>
  <c r="E22" i="5"/>
  <c r="E21" i="5"/>
  <c r="E20" i="5"/>
  <c r="E19" i="5"/>
  <c r="E18" i="5"/>
  <c r="E17" i="5"/>
  <c r="E16" i="5"/>
  <c r="I47" i="5"/>
  <c r="I23" i="5"/>
  <c r="I22" i="5"/>
  <c r="I21" i="5"/>
  <c r="I20" i="5"/>
  <c r="I19" i="5"/>
  <c r="I18" i="5"/>
  <c r="I17" i="5"/>
  <c r="I16" i="5"/>
  <c r="F44" i="5"/>
  <c r="A2" i="5"/>
  <c r="F36" i="5"/>
  <c r="B52" i="28"/>
  <c r="H52" i="28" s="1"/>
  <c r="B53" i="28"/>
  <c r="B54" i="28"/>
  <c r="H54" i="28" s="1"/>
  <c r="E13" i="2"/>
  <c r="E14" i="2"/>
  <c r="E15" i="2"/>
  <c r="E16" i="2"/>
  <c r="E17" i="2"/>
  <c r="E18" i="2"/>
  <c r="E19" i="2"/>
  <c r="E20" i="2"/>
  <c r="B39" i="28"/>
  <c r="H39" i="28" s="1"/>
  <c r="B40" i="28"/>
  <c r="B41" i="28"/>
  <c r="H41" i="28" s="1"/>
  <c r="D15" i="2"/>
  <c r="D17" i="2"/>
  <c r="D19" i="2"/>
  <c r="D14" i="2"/>
  <c r="D16" i="2"/>
  <c r="D18" i="2"/>
  <c r="D20" i="2"/>
  <c r="B26" i="28"/>
  <c r="H26" i="28" s="1"/>
  <c r="B27" i="28"/>
  <c r="B28" i="28"/>
  <c r="H28" i="28" s="1"/>
  <c r="C13" i="2"/>
  <c r="C14" i="2"/>
  <c r="C16" i="2"/>
  <c r="C18" i="2"/>
  <c r="C20" i="2"/>
  <c r="C15" i="2"/>
  <c r="C17" i="2"/>
  <c r="C19" i="2"/>
  <c r="B12" i="28"/>
  <c r="B13" i="28"/>
  <c r="H13" i="28" s="1"/>
  <c r="B14" i="28"/>
  <c r="H14" i="28" s="1"/>
  <c r="B15" i="28"/>
  <c r="H15" i="28" s="1"/>
  <c r="B13" i="2"/>
  <c r="B14" i="2"/>
  <c r="B15" i="2"/>
  <c r="B16" i="2"/>
  <c r="B17" i="2"/>
  <c r="B18" i="2"/>
  <c r="B19" i="2"/>
  <c r="B20" i="2"/>
  <c r="F47" i="5"/>
  <c r="F23" i="5"/>
  <c r="F19" i="5"/>
  <c r="F18" i="5"/>
  <c r="F16" i="5"/>
  <c r="F17" i="5"/>
  <c r="F20" i="5"/>
  <c r="F21" i="5"/>
  <c r="F22" i="5"/>
  <c r="D108" i="9"/>
  <c r="G108" i="9"/>
  <c r="H108" i="9"/>
  <c r="D87" i="9"/>
  <c r="G87" i="9"/>
  <c r="H87" i="9"/>
  <c r="G66" i="9"/>
  <c r="D66" i="9"/>
  <c r="H66" i="9"/>
  <c r="D45" i="9"/>
  <c r="G45" i="9"/>
  <c r="H45" i="9"/>
  <c r="D24" i="9"/>
  <c r="G24" i="9"/>
  <c r="H24" i="9"/>
  <c r="D37" i="9"/>
  <c r="G37" i="9"/>
  <c r="H37" i="9"/>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G31" i="9"/>
  <c r="D31" i="9"/>
  <c r="H31" i="9"/>
  <c r="F110" i="9"/>
  <c r="E110" i="9"/>
  <c r="C110" i="9"/>
  <c r="B110" i="9"/>
  <c r="G109" i="9"/>
  <c r="D109" i="9"/>
  <c r="G107" i="9"/>
  <c r="D107" i="9"/>
  <c r="H107" i="9"/>
  <c r="G106" i="9"/>
  <c r="D106" i="9"/>
  <c r="H106" i="9"/>
  <c r="G105" i="9"/>
  <c r="D105" i="9"/>
  <c r="H105" i="9"/>
  <c r="G104" i="9"/>
  <c r="D104" i="9"/>
  <c r="G103" i="9"/>
  <c r="D103" i="9"/>
  <c r="G102" i="9"/>
  <c r="D102" i="9"/>
  <c r="G101" i="9"/>
  <c r="D101" i="9"/>
  <c r="G100" i="9"/>
  <c r="D100" i="9"/>
  <c r="G99" i="9"/>
  <c r="D99" i="9"/>
  <c r="H99" i="9"/>
  <c r="G98" i="9"/>
  <c r="D98" i="9"/>
  <c r="G97" i="9"/>
  <c r="D97" i="9"/>
  <c r="G96" i="9"/>
  <c r="D96" i="9"/>
  <c r="G95" i="9"/>
  <c r="D95" i="9"/>
  <c r="G94" i="9"/>
  <c r="D94" i="9"/>
  <c r="F89" i="9"/>
  <c r="E89" i="9"/>
  <c r="C89" i="9"/>
  <c r="B89" i="9"/>
  <c r="G88" i="9"/>
  <c r="D88" i="9"/>
  <c r="H88" i="9"/>
  <c r="G86" i="9"/>
  <c r="D86" i="9"/>
  <c r="G85" i="9"/>
  <c r="D85" i="9"/>
  <c r="H85" i="9"/>
  <c r="G84" i="9"/>
  <c r="D84" i="9"/>
  <c r="G83" i="9"/>
  <c r="D83" i="9"/>
  <c r="H83" i="9"/>
  <c r="G82" i="9"/>
  <c r="D82" i="9"/>
  <c r="H82" i="9"/>
  <c r="G81" i="9"/>
  <c r="D81" i="9"/>
  <c r="H81" i="9"/>
  <c r="G80" i="9"/>
  <c r="D80" i="9"/>
  <c r="G79" i="9"/>
  <c r="D79" i="9"/>
  <c r="H79" i="9"/>
  <c r="G78" i="9"/>
  <c r="D78" i="9"/>
  <c r="G77" i="9"/>
  <c r="D77" i="9"/>
  <c r="H77" i="9"/>
  <c r="G76" i="9"/>
  <c r="D76" i="9"/>
  <c r="H76" i="9"/>
  <c r="G75" i="9"/>
  <c r="D75" i="9"/>
  <c r="H75" i="9"/>
  <c r="G74" i="9"/>
  <c r="D74" i="9"/>
  <c r="G73" i="9"/>
  <c r="D73" i="9"/>
  <c r="G56" i="9"/>
  <c r="D56" i="9"/>
  <c r="H56" i="9"/>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47"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H110" i="9"/>
  <c r="H89" i="9"/>
  <c r="H68" i="9"/>
  <c r="G10" i="9"/>
  <c r="D10" i="9"/>
  <c r="H10" i="9"/>
  <c r="G25" i="9"/>
  <c r="D25" i="9"/>
  <c r="G23" i="9"/>
  <c r="D23" i="9"/>
  <c r="G22" i="9"/>
  <c r="D22" i="9"/>
  <c r="G21" i="9"/>
  <c r="D21" i="9"/>
  <c r="H21" i="9"/>
  <c r="G20" i="9"/>
  <c r="D20" i="9"/>
  <c r="G19" i="9"/>
  <c r="D19" i="9"/>
  <c r="G18" i="9"/>
  <c r="D18" i="9"/>
  <c r="G17" i="9"/>
  <c r="D17" i="9"/>
  <c r="H17" i="9"/>
  <c r="G15" i="9"/>
  <c r="D15" i="9"/>
  <c r="G13" i="9"/>
  <c r="D13" i="9"/>
  <c r="G12" i="9"/>
  <c r="D12" i="9"/>
  <c r="G11" i="9"/>
  <c r="D11" i="9"/>
  <c r="H11" i="9"/>
  <c r="G26" i="9"/>
  <c r="D26" i="9"/>
  <c r="H15" i="9"/>
  <c r="H20" i="9"/>
  <c r="H25" i="9"/>
  <c r="H13" i="9"/>
  <c r="H19" i="9"/>
  <c r="H23" i="9"/>
  <c r="H12" i="9"/>
  <c r="H18" i="9"/>
  <c r="H22" i="9"/>
  <c r="H26" i="9"/>
  <c r="A1" i="9"/>
  <c r="A2" i="9"/>
  <c r="A2" i="2"/>
  <c r="H53" i="28" l="1"/>
  <c r="C54" i="28"/>
  <c r="D54" i="28" s="1"/>
  <c r="C53" i="28"/>
  <c r="D53" i="28" s="1"/>
  <c r="H27" i="28"/>
  <c r="C28" i="28"/>
  <c r="D28" i="28" s="1"/>
  <c r="C27" i="28"/>
  <c r="D27" i="28" s="1"/>
  <c r="H40" i="28"/>
  <c r="C40" i="28"/>
  <c r="D40" i="28" s="1"/>
  <c r="C41" i="28"/>
  <c r="D41" i="28" s="1"/>
  <c r="B51" i="28"/>
  <c r="E22" i="2"/>
  <c r="C29" i="2"/>
  <c r="B38" i="28"/>
  <c r="D22" i="2"/>
  <c r="B25" i="28"/>
  <c r="C22" i="2"/>
  <c r="G16" i="5"/>
  <c r="G20" i="5"/>
  <c r="D17" i="5"/>
  <c r="G19" i="5"/>
  <c r="G23" i="5"/>
  <c r="E29" i="2"/>
  <c r="B29" i="28"/>
  <c r="B17" i="28"/>
  <c r="H17" i="28" s="1"/>
  <c r="B56" i="28"/>
  <c r="H56" i="28" s="1"/>
  <c r="D29" i="2"/>
  <c r="D21" i="5"/>
  <c r="H12" i="28"/>
  <c r="B30" i="28"/>
  <c r="H30" i="28" s="1"/>
  <c r="B42" i="28"/>
  <c r="B16" i="28"/>
  <c r="H16" i="28" s="1"/>
  <c r="B43" i="28"/>
  <c r="H43" i="28" s="1"/>
  <c r="B55" i="28"/>
  <c r="B29" i="2"/>
  <c r="B22" i="2"/>
  <c r="D36" i="5"/>
  <c r="G17" i="5"/>
  <c r="D19" i="5"/>
  <c r="G18" i="5"/>
  <c r="G22" i="5"/>
  <c r="D44" i="5"/>
  <c r="G44" i="5"/>
  <c r="D23" i="5"/>
  <c r="E25" i="5"/>
  <c r="E31" i="5" s="1"/>
  <c r="E48" i="5" s="1"/>
  <c r="D16" i="5"/>
  <c r="D20" i="5"/>
  <c r="H25" i="5"/>
  <c r="H31" i="5" s="1"/>
  <c r="H48" i="5" s="1"/>
  <c r="D47" i="5"/>
  <c r="I25" i="5"/>
  <c r="I31" i="5" s="1"/>
  <c r="I48" i="5" s="1"/>
  <c r="F25" i="5"/>
  <c r="F31" i="5" s="1"/>
  <c r="F48" i="5" s="1"/>
  <c r="D18" i="5"/>
  <c r="D22" i="5"/>
  <c r="G21" i="5"/>
  <c r="G47" i="5"/>
  <c r="H55" i="28" l="1"/>
  <c r="C56" i="28"/>
  <c r="D56" i="28" s="1"/>
  <c r="C55" i="28"/>
  <c r="D55" i="28" s="1"/>
  <c r="C52" i="28"/>
  <c r="D52" i="28" s="1"/>
  <c r="C51" i="28"/>
  <c r="H51" i="28"/>
  <c r="H29" i="28"/>
  <c r="C30" i="28"/>
  <c r="D30" i="28" s="1"/>
  <c r="C29" i="28"/>
  <c r="D29" i="28" s="1"/>
  <c r="H25" i="28"/>
  <c r="C26" i="28"/>
  <c r="D26" i="28" s="1"/>
  <c r="C25" i="28"/>
  <c r="H42" i="28"/>
  <c r="C42" i="28"/>
  <c r="D42" i="28" s="1"/>
  <c r="C43" i="28"/>
  <c r="D43" i="28" s="1"/>
  <c r="H38" i="28"/>
  <c r="C39" i="28"/>
  <c r="D39" i="28" s="1"/>
  <c r="C38" i="28"/>
  <c r="I57" i="5"/>
  <c r="H57" i="5"/>
  <c r="B18" i="28"/>
  <c r="B31" i="28"/>
  <c r="G25" i="5"/>
  <c r="G31" i="5" s="1"/>
  <c r="G48" i="5" s="1"/>
  <c r="B44" i="28"/>
  <c r="H44" i="28"/>
  <c r="H18" i="28"/>
  <c r="H57" i="28"/>
  <c r="H31" i="28"/>
  <c r="B57" i="28"/>
  <c r="D25" i="5"/>
  <c r="D31" i="5" s="1"/>
  <c r="D48" i="5" s="1"/>
  <c r="D51" i="28" l="1"/>
  <c r="C57" i="28"/>
  <c r="D57" i="28" s="1"/>
  <c r="I51" i="28"/>
  <c r="J51" i="28" s="1"/>
  <c r="D25" i="28"/>
  <c r="C31" i="28"/>
  <c r="D31" i="28" s="1"/>
  <c r="I25" i="28"/>
  <c r="J25" i="28" s="1"/>
  <c r="D38" i="28"/>
  <c r="C44" i="28"/>
  <c r="D44" i="28" s="1"/>
  <c r="I38" i="28"/>
  <c r="J38" i="28" s="1"/>
</calcChain>
</file>

<file path=xl/sharedStrings.xml><?xml version="1.0" encoding="utf-8"?>
<sst xmlns="http://schemas.openxmlformats.org/spreadsheetml/2006/main" count="522" uniqueCount="286">
  <si>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</si>
  <si>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</si>
  <si>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</si>
  <si>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</si>
  <si>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</si>
  <si>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</si>
  <si>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</si>
  <si>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</si>
  <si>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</si>
  <si>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</si>
  <si>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</si>
  <si>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</si>
  <si>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</si>
  <si>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</si>
  <si>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</si>
  <si>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</si>
  <si>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</si>
  <si>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</si>
  <si>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</si>
  <si>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</si>
  <si>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</si>
  <si>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</si>
  <si>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</si>
  <si>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</si>
  <si>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</si>
  <si>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</si>
  <si>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</si>
  <si>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</si>
  <si>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</si>
  <si>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</si>
  <si>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</si>
  <si>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</si>
  <si>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</si>
  <si>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</si>
  <si>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</si>
  <si>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</si>
  <si>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</si>
  <si>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</si>
  <si>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</si>
  <si>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</si>
  <si>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</si>
  <si>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</si>
  <si>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</si>
  <si>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</si>
  <si>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</si>
  <si>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</si>
  <si>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</si>
  <si>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</si>
  <si>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</si>
  <si>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</si>
  <si>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</si>
  <si>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</si>
  <si>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</si>
  <si>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</si>
  <si>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</si>
  <si>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</si>
  <si>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</si>
  <si>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</si>
  <si>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</si>
  <si>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</si>
  <si>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</si>
  <si>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</si>
  <si>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</si>
  <si>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</si>
  <si>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</si>
  <si>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</si>
  <si>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</si>
  <si>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</si>
  <si>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</si>
  <si>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</si>
  <si>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</si>
  <si>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</si>
  <si>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</si>
  <si>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</si>
  <si>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</si>
  <si>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</si>
  <si>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</si>
  <si>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</si>
  <si>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</si>
  <si>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</si>
  <si>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</si>
  <si>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</si>
  <si>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</si>
  <si>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</si>
  <si>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</si>
  <si>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</si>
  <si>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</si>
  <si>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</si>
  <si>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</si>
  <si>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</si>
  <si>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</si>
  <si>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</si>
  <si>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</si>
  <si>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</si>
  <si>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</si>
  <si>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</si>
  <si>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</si>
  <si>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</si>
  <si>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</si>
  <si>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</si>
  <si>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</si>
  <si>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</si>
  <si>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</si>
  <si>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</si>
  <si>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</si>
  <si>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</si>
  <si>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</si>
  <si>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</si>
  <si>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</si>
  <si>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</si>
  <si>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</si>
  <si>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</si>
  <si>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</si>
  <si>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</si>
  <si>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</si>
  <si>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</si>
  <si>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</si>
  <si>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</si>
  <si>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</si>
  <si>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</si>
  <si>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</si>
  <si>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</si>
  <si>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</si>
  <si>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</si>
  <si>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</si>
  <si>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</si>
  <si>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</si>
  <si>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</si>
  <si>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</si>
  <si>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</si>
  <si>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</si>
  <si>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</si>
  <si>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</si>
  <si>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</si>
  <si>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</si>
  <si>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</si>
  <si>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</si>
  <si>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</si>
  <si>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</si>
  <si>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</si>
  <si>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</si>
  <si>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</si>
  <si>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</si>
  <si>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</si>
  <si>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</si>
  <si>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</si>
  <si>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</si>
  <si>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</si>
  <si>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</si>
  <si>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</si>
  <si>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</si>
  <si>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</si>
  <si>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</si>
  <si>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</si>
  <si>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</si>
  <si>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</si>
  <si>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</si>
  <si>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</si>
  <si>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</si>
  <si>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</si>
  <si>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</si>
  <si>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</si>
  <si>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</si>
  <si>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</si>
  <si>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</si>
  <si>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</si>
  <si>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</si>
  <si>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</si>
  <si>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</si>
  <si>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</si>
  <si>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</si>
  <si>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</si>
  <si>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</si>
  <si>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</si>
  <si>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</si>
  <si>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</si>
  <si>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</si>
  <si>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</si>
  <si>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</si>
  <si>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</si>
  <si>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</si>
  <si>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</si>
  <si>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</si>
  <si>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</si>
  <si>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</si>
  <si>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</si>
  <si>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</si>
  <si>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</si>
  <si>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</si>
  <si>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</si>
  <si>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</si>
  <si>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</si>
  <si>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</si>
  <si>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</si>
  <si>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</si>
  <si>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</si>
  <si>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</si>
  <si>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</si>
  <si>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</si>
  <si>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</si>
  <si>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</si>
  <si>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</si>
  <si>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</si>
  <si>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</si>
  <si>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</si>
  <si>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</si>
  <si>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</si>
  <si>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</si>
  <si>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</si>
  <si>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</si>
  <si>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</si>
  <si>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</si>
  <si>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</si>
  <si>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</si>
  <si>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</si>
  <si>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</si>
  <si>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</si>
  <si>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</si>
  <si>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</si>
  <si>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</si>
  <si>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</si>
  <si>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</si>
  <si>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</si>
  <si>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</si>
  <si>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</si>
  <si>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</si>
  <si>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</si>
  <si>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</si>
  <si>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</si>
  <si>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</si>
  <si>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</si>
  <si>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</si>
  <si>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</si>
  <si>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</si>
  <si>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</si>
  <si>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</si>
  <si>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</si>
  <si>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</si>
  <si>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</si>
  <si>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</si>
  <si>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</si>
  <si>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</si>
  <si>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</si>
  <si>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</si>
  <si>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</si>
  <si>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</si>
  <si>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</si>
  <si>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</si>
  <si>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</si>
  <si>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</si>
  <si>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</si>
  <si>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</si>
  <si>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</si>
  <si>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</si>
  <si>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</si>
  <si>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</si>
  <si>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</si>
  <si>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</si>
  <si>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</si>
  <si>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</si>
  <si>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</si>
  <si>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</si>
  <si>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</si>
  <si>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William &amp; Mary</t>
  </si>
  <si>
    <t>204</t>
  </si>
  <si>
    <t>Amy Sebring</t>
  </si>
  <si>
    <t>asebring@wm.edu</t>
  </si>
  <si>
    <t>757-221-1722</t>
  </si>
  <si>
    <t>Total Fee Revenue</t>
  </si>
  <si>
    <t>Expand key STEM offerings</t>
  </si>
  <si>
    <t>Academic program growth in areas of student and employer demand.</t>
  </si>
  <si>
    <t>Expanding historical and cultural research to tell a more inclusive history</t>
  </si>
  <si>
    <t>Increased Financial Aid for Pell Eligible Students</t>
  </si>
  <si>
    <t>Expanding Jump-Start Data Science Program</t>
  </si>
  <si>
    <t>Assess progress and continue investment as needed.</t>
  </si>
  <si>
    <t>Expanding Information Technology Infrastructure for Teaching, Learning, and Research</t>
  </si>
  <si>
    <t>Align Univeristy Library Resources to Support the Research Enterprise and Enrollment Growth</t>
  </si>
  <si>
    <t>1,3</t>
  </si>
  <si>
    <t>Academic program growth in areas of student and employer demand. Narrative pages 7-8.</t>
  </si>
  <si>
    <t>Strategically utilize university library resources to coordinate growth of digital scholarship and research as well as online learning. Narrative page 8.</t>
  </si>
  <si>
    <t>Solidify and upgrade infrastructure underpinning our educational and research mission. Narrative page 8.</t>
  </si>
  <si>
    <t>This is related to W&amp;M's priority on need-based aid, but the NGF amount included is not all Pell related. This ask will specifically help W&amp;M target Pell eligible students and grow that student population. Narrative page 7.</t>
  </si>
  <si>
    <t>Narrative page 7.</t>
  </si>
  <si>
    <t>This request is for the GF share of O&amp;M for new facilities coming on-line. W&amp;M will need to fully fund from NGF resources if not funded. Narrative page 7.</t>
  </si>
  <si>
    <t>Base fund one-time assistance from FY22</t>
  </si>
  <si>
    <t>This amount it included in NGF for current operations on the academic financial plan because W&amp;M has not assumed ongoing general fund support for this one-time assistance for unavoidable costs. Narrative page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</si>
</sst>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
    <numFmt numFmtId="165" formatCode="0.0%"/>
    <numFmt numFmtId="166" formatCode="&quot;$&quot;#,##0.00"/>
    <numFmt numFmtId="167" formatCode="_(* #,##0_);_(* \(#,##0\);_(* &quot;-&quot;??_);_(@_)"/>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double">
        <color indexed="64"/>
      </top>
      <bottom style="thin">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6" fillId="0" borderId="0" applyFont="0" applyFill="0" applyBorder="0" applyAlignment="0" applyProtection="0"/>
  </cellStyleXfs>
  <cellXfs count="420">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51" xfId="0" applyNumberFormat="1" applyFont="1" applyBorder="1" applyAlignment="1">
      <alignment horizontal="right" vertical="center" wrapText="1"/>
    </xf>
    <xf numFmtId="0" fontId="34" fillId="0" borderId="51" xfId="0" applyFont="1" applyBorder="1" applyAlignment="1">
      <alignment horizontal="center" vertical="top"/>
    </xf>
    <xf numFmtId="0" fontId="29" fillId="0" borderId="52" xfId="0" applyFont="1" applyBorder="1" applyAlignment="1">
      <alignment vertical="top" wrapText="1"/>
    </xf>
    <xf numFmtId="0" fontId="14" fillId="2" borderId="0" xfId="0" applyFont="1" applyFill="1"/>
    <xf numFmtId="0" fontId="29" fillId="0" borderId="55"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0" fontId="12" fillId="0" borderId="1" xfId="0" applyFont="1" applyBorder="1"/>
    <xf numFmtId="164" fontId="17" fillId="2" borderId="34" xfId="0" applyNumberFormat="1" applyFont="1" applyFill="1" applyBorder="1" applyAlignment="1">
      <alignment horizontal="right" vertical="center"/>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6" fillId="5" borderId="11" xfId="0" applyFont="1" applyFill="1" applyBorder="1" applyAlignment="1">
      <alignment horizontal="center" vertical="center" wrapText="1"/>
    </xf>
    <xf numFmtId="0" fontId="56" fillId="2" borderId="11" xfId="1" applyFont="1" applyFill="1" applyBorder="1" applyAlignment="1">
      <alignment horizontal="center" vertical="center" wrapText="1"/>
    </xf>
    <xf numFmtId="0" fontId="56" fillId="5" borderId="49" xfId="0" applyFont="1" applyFill="1" applyBorder="1" applyAlignment="1">
      <alignment horizontal="center" vertical="center" wrapText="1"/>
    </xf>
    <xf numFmtId="0" fontId="59" fillId="0" borderId="69" xfId="1" applyFont="1" applyBorder="1" applyAlignment="1">
      <alignment horizontal="left" vertical="top" wrapText="1"/>
    </xf>
    <xf numFmtId="0" fontId="14" fillId="0" borderId="0" xfId="1" applyFont="1" applyAlignment="1">
      <alignment horizontal="left" vertical="top" wrapText="1"/>
    </xf>
    <xf numFmtId="0" fontId="59" fillId="0" borderId="69" xfId="1" applyFont="1" applyFill="1" applyBorder="1" applyAlignment="1">
      <alignment horizontal="left" vertical="top" wrapText="1"/>
    </xf>
    <xf numFmtId="0" fontId="24" fillId="0" borderId="69" xfId="1" applyFont="1" applyFill="1" applyBorder="1" applyAlignment="1">
      <alignment horizontal="left" vertical="top" wrapText="1"/>
    </xf>
    <xf numFmtId="0" fontId="13" fillId="0" borderId="69" xfId="1" applyFont="1" applyFill="1" applyBorder="1" applyAlignment="1">
      <alignment horizontal="left" vertical="top" wrapText="1"/>
    </xf>
    <xf numFmtId="0" fontId="60" fillId="3" borderId="59" xfId="1" applyFont="1" applyFill="1" applyBorder="1" applyAlignment="1">
      <alignment horizontal="left" vertical="top" wrapText="1"/>
    </xf>
    <xf numFmtId="0" fontId="44" fillId="0" borderId="59"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4" fillId="0" borderId="2" xfId="1" applyFont="1" applyFill="1" applyBorder="1" applyAlignment="1">
      <alignment horizontal="left" vertical="center" wrapText="1"/>
    </xf>
    <xf numFmtId="0" fontId="44" fillId="0" borderId="69" xfId="1" applyFont="1" applyBorder="1" applyAlignment="1">
      <alignment horizontal="left" vertical="center" wrapText="1"/>
    </xf>
    <xf numFmtId="0" fontId="47" fillId="3" borderId="17" xfId="1" applyFont="1" applyFill="1" applyBorder="1" applyAlignment="1">
      <alignment horizontal="left" vertical="center" wrapText="1"/>
    </xf>
    <xf numFmtId="0" fontId="14" fillId="0" borderId="0" xfId="1" applyFont="1" applyAlignment="1">
      <alignment horizontal="left" vertical="center" wrapText="1"/>
    </xf>
    <xf numFmtId="0" fontId="60" fillId="3" borderId="59" xfId="1" applyFont="1" applyFill="1" applyBorder="1" applyAlignment="1">
      <alignment horizontal="left" vertical="center" wrapText="1"/>
    </xf>
    <xf numFmtId="0" fontId="49" fillId="0" borderId="59" xfId="1" applyFont="1" applyBorder="1" applyAlignment="1">
      <alignment horizontal="left" vertical="center" wrapText="1"/>
    </xf>
    <xf numFmtId="0" fontId="44" fillId="0" borderId="0" xfId="1" applyFont="1" applyFill="1" applyAlignment="1">
      <alignment horizontal="left" vertical="center" wrapText="1"/>
    </xf>
    <xf numFmtId="0" fontId="63" fillId="3" borderId="59" xfId="1" applyFont="1" applyFill="1" applyBorder="1" applyAlignment="1">
      <alignment horizontal="left" vertical="center" wrapText="1"/>
    </xf>
    <xf numFmtId="0" fontId="64" fillId="0" borderId="0" xfId="1" applyFont="1" applyAlignment="1">
      <alignment horizontal="left" vertical="center" wrapText="1"/>
    </xf>
    <xf numFmtId="0" fontId="65" fillId="0" borderId="59" xfId="1" applyFont="1" applyBorder="1" applyAlignment="1">
      <alignment horizontal="left" vertical="center" wrapText="1"/>
    </xf>
    <xf numFmtId="0" fontId="44" fillId="0" borderId="59" xfId="1" applyFont="1" applyBorder="1" applyAlignment="1">
      <alignment horizontal="left" vertical="center" wrapText="1"/>
    </xf>
    <xf numFmtId="0" fontId="60" fillId="7" borderId="59" xfId="1" applyFont="1" applyFill="1" applyBorder="1" applyAlignment="1">
      <alignment horizontal="left" vertical="center" wrapText="1"/>
    </xf>
    <xf numFmtId="0" fontId="44" fillId="7" borderId="69" xfId="1" applyFont="1" applyFill="1" applyBorder="1" applyAlignment="1">
      <alignment horizontal="left" vertical="center" wrapText="1"/>
    </xf>
    <xf numFmtId="0" fontId="66" fillId="3" borderId="59" xfId="1" applyFont="1" applyFill="1" applyBorder="1" applyAlignment="1">
      <alignment horizontal="left" vertical="center" wrapText="1"/>
    </xf>
    <xf numFmtId="0" fontId="67" fillId="0" borderId="69" xfId="1" applyFont="1" applyBorder="1" applyAlignment="1">
      <alignment horizontal="left" vertical="center" wrapText="1"/>
    </xf>
    <xf numFmtId="0" fontId="62" fillId="0" borderId="0" xfId="1" applyFont="1" applyAlignment="1">
      <alignment horizontal="left" vertical="center" wrapText="1"/>
    </xf>
    <xf numFmtId="0" fontId="62" fillId="0" borderId="69" xfId="1" applyFont="1" applyBorder="1" applyAlignment="1">
      <alignment horizontal="left" vertical="center" wrapText="1"/>
    </xf>
    <xf numFmtId="0" fontId="14" fillId="0" borderId="69"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59"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4" fillId="0" borderId="59"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2" fillId="6" borderId="0" xfId="0" applyFont="1" applyFill="1"/>
    <xf numFmtId="0" fontId="73" fillId="6" borderId="0" xfId="0" applyFont="1" applyFill="1"/>
    <xf numFmtId="0" fontId="17" fillId="6" borderId="0" xfId="0" applyFont="1" applyFill="1"/>
    <xf numFmtId="0" fontId="17" fillId="6" borderId="60" xfId="0" applyFont="1" applyFill="1" applyBorder="1" applyAlignment="1">
      <alignment horizontal="center" wrapText="1"/>
    </xf>
    <xf numFmtId="164" fontId="17" fillId="6" borderId="60"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4" fillId="6" borderId="59" xfId="0" applyFont="1" applyFill="1" applyBorder="1" applyAlignment="1">
      <alignment horizontal="left" vertical="center"/>
    </xf>
    <xf numFmtId="0" fontId="12" fillId="6" borderId="59"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1" fillId="6" borderId="60" xfId="0" applyFont="1" applyFill="1" applyBorder="1" applyAlignment="1">
      <alignment horizontal="center" vertical="center" wrapText="1"/>
    </xf>
    <xf numFmtId="0" fontId="51" fillId="6" borderId="61"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51" xfId="0" applyFont="1" applyFill="1" applyBorder="1" applyAlignment="1">
      <alignment horizontal="center" vertical="top"/>
    </xf>
    <xf numFmtId="0" fontId="29" fillId="6" borderId="52" xfId="0" applyFont="1" applyFill="1" applyBorder="1" applyAlignment="1">
      <alignment vertical="top" wrapText="1"/>
    </xf>
    <xf numFmtId="0" fontId="29" fillId="6" borderId="55" xfId="0" applyFont="1" applyFill="1" applyBorder="1" applyAlignment="1">
      <alignment horizontal="center" vertical="top" wrapText="1"/>
    </xf>
    <xf numFmtId="164" fontId="17" fillId="6" borderId="51" xfId="0" applyNumberFormat="1" applyFont="1" applyFill="1" applyBorder="1" applyAlignment="1">
      <alignment horizontal="right" vertical="center" wrapText="1"/>
    </xf>
    <xf numFmtId="0" fontId="29" fillId="6" borderId="54" xfId="0" applyFont="1" applyFill="1" applyBorder="1" applyAlignment="1">
      <alignment horizontal="left" vertical="top" wrapText="1"/>
    </xf>
    <xf numFmtId="0" fontId="12" fillId="6" borderId="1" xfId="0" applyFont="1" applyFill="1" applyBorder="1" applyAlignment="1"/>
    <xf numFmtId="0" fontId="20" fillId="6" borderId="6" xfId="0" applyFont="1" applyFill="1" applyBorder="1" applyAlignment="1">
      <alignment vertical="center" wrapText="1"/>
    </xf>
    <xf numFmtId="0" fontId="53" fillId="6" borderId="2" xfId="0" applyFont="1" applyFill="1" applyBorder="1" applyAlignment="1"/>
    <xf numFmtId="0" fontId="54" fillId="6" borderId="59" xfId="0" applyFont="1" applyFill="1" applyBorder="1" applyAlignment="1"/>
    <xf numFmtId="0" fontId="12" fillId="6" borderId="59" xfId="0" applyFont="1" applyFill="1" applyBorder="1"/>
    <xf numFmtId="0" fontId="12" fillId="6" borderId="0" xfId="0" applyFont="1" applyFill="1" applyBorder="1" applyAlignment="1"/>
    <xf numFmtId="0" fontId="53"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3" xfId="0" applyNumberFormat="1" applyFont="1" applyFill="1" applyBorder="1" applyAlignment="1">
      <alignment horizontal="right" wrapText="1"/>
    </xf>
    <xf numFmtId="165" fontId="12" fillId="6" borderId="73" xfId="1" applyNumberFormat="1" applyFont="1" applyFill="1" applyBorder="1" applyAlignment="1" applyProtection="1">
      <alignment horizontal="right"/>
      <protection locked="0"/>
    </xf>
    <xf numFmtId="0" fontId="53" fillId="6" borderId="4" xfId="0" applyFont="1" applyFill="1" applyBorder="1" applyAlignment="1" applyProtection="1">
      <protection locked="0"/>
    </xf>
    <xf numFmtId="0" fontId="14" fillId="0" borderId="77"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4" fillId="0" borderId="69" xfId="1" applyFont="1" applyFill="1" applyBorder="1" applyAlignment="1">
      <alignment horizontal="left" vertical="top" wrapText="1"/>
    </xf>
    <xf numFmtId="0" fontId="44"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59" xfId="1" applyFont="1" applyFill="1" applyBorder="1" applyAlignment="1">
      <alignment horizontal="center" vertical="center" wrapText="1"/>
    </xf>
    <xf numFmtId="0" fontId="14" fillId="0" borderId="59" xfId="0" applyFont="1" applyFill="1" applyBorder="1"/>
    <xf numFmtId="0" fontId="12" fillId="6" borderId="59" xfId="0" applyFont="1" applyFill="1" applyBorder="1" applyAlignment="1"/>
    <xf numFmtId="0" fontId="11" fillId="6" borderId="0" xfId="1" applyFont="1" applyFill="1" applyBorder="1" applyAlignment="1">
      <alignment horizontal="left"/>
    </xf>
    <xf numFmtId="164" fontId="14" fillId="2" borderId="59" xfId="0" applyNumberFormat="1" applyFont="1" applyFill="1" applyBorder="1"/>
    <xf numFmtId="165" fontId="12" fillId="2" borderId="60"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6" xfId="0" applyNumberFormat="1" applyFont="1" applyFill="1" applyBorder="1" applyAlignment="1">
      <alignment horizontal="right" vertical="center" wrapText="1"/>
    </xf>
    <xf numFmtId="164" fontId="14" fillId="3" borderId="57" xfId="0" applyNumberFormat="1" applyFont="1" applyFill="1" applyBorder="1" applyAlignment="1">
      <alignment horizontal="right" vertical="center" wrapText="1"/>
    </xf>
    <xf numFmtId="164" fontId="17" fillId="3" borderId="58"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165" fontId="0" fillId="0" borderId="0" xfId="83" applyNumberFormat="1" applyFont="1"/>
    <xf numFmtId="166" fontId="17" fillId="0" borderId="23" xfId="12" applyNumberFormat="1" applyFont="1" applyFill="1" applyBorder="1" applyAlignment="1">
      <alignment horizontal="right" wrapText="1"/>
    </xf>
    <xf numFmtId="164" fontId="12" fillId="6" borderId="0" xfId="0" applyNumberFormat="1" applyFont="1" applyFill="1"/>
    <xf numFmtId="164" fontId="12" fillId="6" borderId="0" xfId="1" applyNumberFormat="1" applyFont="1" applyFill="1" applyBorder="1" applyAlignment="1"/>
    <xf numFmtId="167" fontId="12" fillId="6" borderId="0" xfId="138" applyNumberFormat="1" applyFont="1" applyFill="1" applyBorder="1" applyAlignment="1"/>
    <xf numFmtId="0" fontId="12" fillId="0" borderId="59" xfId="0" applyFont="1" applyBorder="1"/>
    <xf numFmtId="0" fontId="12" fillId="0" borderId="1" xfId="0" applyFont="1" applyBorder="1" applyAlignment="1">
      <alignment wrapText="1"/>
    </xf>
    <xf numFmtId="0" fontId="29" fillId="0" borderId="54" xfId="0" applyFont="1" applyFill="1" applyBorder="1" applyAlignment="1">
      <alignment horizontal="left" vertical="top" wrapText="1"/>
    </xf>
    <xf numFmtId="164" fontId="17" fillId="6" borderId="0" xfId="83" applyNumberFormat="1" applyFont="1" applyFill="1" applyBorder="1" applyAlignment="1">
      <alignment horizontal="right" vertical="center" wrapText="1"/>
    </xf>
    <xf numFmtId="0" fontId="12" fillId="0" borderId="59" xfId="0" applyFont="1" applyBorder="1" applyAlignment="1">
      <alignment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8" fillId="0" borderId="15" xfId="7"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75" xfId="0" applyFont="1" applyFill="1" applyBorder="1" applyAlignment="1">
      <alignment horizontal="center" wrapText="1"/>
    </xf>
    <xf numFmtId="0" fontId="17" fillId="6" borderId="76" xfId="0" applyFont="1" applyFill="1" applyBorder="1" applyAlignment="1">
      <alignment horizontal="center" wrapText="1"/>
    </xf>
    <xf numFmtId="0" fontId="74"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4" fillId="6" borderId="74"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13" fillId="6" borderId="68"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14" fillId="6" borderId="6"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55" fillId="6" borderId="30" xfId="1" applyFont="1" applyFill="1" applyBorder="1" applyAlignment="1" applyProtection="1">
      <alignment horizontal="center"/>
      <protection locked="0"/>
    </xf>
    <xf numFmtId="0" fontId="55" fillId="6" borderId="32" xfId="1" applyFont="1" applyFill="1" applyBorder="1" applyAlignment="1" applyProtection="1">
      <alignment horizontal="center"/>
      <protection locked="0"/>
    </xf>
    <xf numFmtId="0" fontId="13" fillId="0" borderId="59"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4" fillId="6" borderId="68"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1" fillId="6" borderId="62" xfId="0" applyFont="1" applyFill="1" applyBorder="1" applyAlignment="1">
      <alignment horizontal="center" vertical="center" wrapText="1"/>
    </xf>
    <xf numFmtId="0" fontId="51" fillId="6" borderId="63" xfId="0" applyFont="1" applyFill="1" applyBorder="1" applyAlignment="1">
      <alignment horizontal="center" vertical="center" wrapText="1"/>
    </xf>
    <xf numFmtId="0" fontId="51" fillId="6" borderId="64" xfId="0" applyFont="1" applyFill="1" applyBorder="1" applyAlignment="1">
      <alignment horizontal="center" vertical="center" wrapText="1"/>
    </xf>
    <xf numFmtId="0" fontId="51" fillId="6" borderId="65"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22" fillId="0" borderId="0" xfId="1" applyFont="1" applyAlignment="1">
      <alignment horizontal="left" vertical="center"/>
    </xf>
    <xf numFmtId="0" fontId="11" fillId="0" borderId="71" xfId="1" applyFont="1" applyBorder="1" applyAlignment="1">
      <alignment horizontal="center" vertical="center"/>
    </xf>
    <xf numFmtId="0" fontId="11" fillId="0" borderId="70"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7" fillId="0" borderId="71"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2" xfId="12" applyFont="1" applyFill="1" applyBorder="1" applyAlignment="1">
      <alignment horizontal="center" vertical="center" wrapText="1"/>
    </xf>
    <xf numFmtId="0" fontId="16" fillId="0" borderId="59"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57" fillId="0" borderId="68" xfId="1" applyFont="1" applyBorder="1" applyAlignment="1">
      <alignment horizontal="left" vertical="center" wrapText="1"/>
    </xf>
    <xf numFmtId="0" fontId="57"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23"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11" xfId="1" applyFont="1" applyBorder="1" applyAlignment="1">
      <alignment horizontal="center" vertical="center"/>
    </xf>
    <xf numFmtId="0" fontId="14" fillId="0" borderId="71" xfId="1" applyFont="1" applyBorder="1" applyAlignment="1">
      <alignment horizontal="center"/>
    </xf>
    <xf numFmtId="0" fontId="12" fillId="0" borderId="71" xfId="1" applyBorder="1" applyAlignment="1">
      <alignment horizontal="center"/>
    </xf>
    <xf numFmtId="0" fontId="46" fillId="0" borderId="0" xfId="0" applyFont="1" applyBorder="1" applyAlignment="1">
      <alignment horizontal="left" vertical="center" wrapText="1"/>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3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4"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33" fillId="2" borderId="33" xfId="0" applyFont="1" applyFill="1" applyBorder="1" applyAlignment="1">
      <alignment horizontal="center" vertical="center"/>
    </xf>
  </cellXfs>
  <cellStyles count="139">
    <cellStyle name="Comma" xfId="138" builtinId="3"/>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sebring@wm.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heetViews>
  <sheetFormatPr defaultColWidth="164.453125" defaultRowHeight="15.5" x14ac:dyDescent="0.25"/>
  <cols>
    <col min="1" max="1" width="170.54296875" style="88" customWidth="1"/>
    <col min="2" max="16384" width="164.453125" style="88"/>
  </cols>
  <sheetData>
    <row r="1" spans="1:1" ht="21" customHeight="1" x14ac:dyDescent="0.25">
      <c r="A1" s="87" t="s">
        <v>206</v>
      </c>
    </row>
    <row r="2" spans="1:1" ht="21" customHeight="1" x14ac:dyDescent="0.25">
      <c r="A2" s="89" t="s">
        <v>205</v>
      </c>
    </row>
    <row r="3" spans="1:1" ht="21" customHeight="1" x14ac:dyDescent="0.25">
      <c r="A3" s="90" t="s">
        <v>171</v>
      </c>
    </row>
    <row r="4" spans="1:1" ht="16.399999999999999" customHeight="1" x14ac:dyDescent="0.25">
      <c r="A4" s="91"/>
    </row>
    <row r="5" spans="1:1" ht="21" customHeight="1" x14ac:dyDescent="0.25">
      <c r="A5" s="92" t="s">
        <v>172</v>
      </c>
    </row>
    <row r="6" spans="1:1" s="94" customFormat="1" ht="92.15" customHeight="1" x14ac:dyDescent="0.25">
      <c r="A6" s="93" t="s">
        <v>173</v>
      </c>
    </row>
    <row r="7" spans="1:1" s="95" customFormat="1" ht="21" customHeight="1" x14ac:dyDescent="0.25">
      <c r="A7" s="92" t="s">
        <v>207</v>
      </c>
    </row>
    <row r="8" spans="1:1" s="94" customFormat="1" ht="75" customHeight="1" x14ac:dyDescent="0.25">
      <c r="A8" s="96" t="s">
        <v>247</v>
      </c>
    </row>
    <row r="9" spans="1:1" s="94" customFormat="1" ht="61.4" customHeight="1" thickBot="1" x14ac:dyDescent="0.3">
      <c r="A9" s="97" t="s">
        <v>254</v>
      </c>
    </row>
    <row r="10" spans="1:1" s="94" customFormat="1" ht="33" customHeight="1" thickBot="1" x14ac:dyDescent="0.3">
      <c r="A10" s="98" t="s">
        <v>235</v>
      </c>
    </row>
    <row r="11" spans="1:1" s="94" customFormat="1" ht="23.5" customHeight="1" x14ac:dyDescent="0.25">
      <c r="A11" s="100" t="s">
        <v>255</v>
      </c>
    </row>
    <row r="12" spans="1:1" s="94" customFormat="1" ht="57" customHeight="1" x14ac:dyDescent="0.25">
      <c r="A12" s="101" t="s">
        <v>238</v>
      </c>
    </row>
    <row r="13" spans="1:1" s="99" customFormat="1" ht="21" customHeight="1" x14ac:dyDescent="0.25">
      <c r="A13" s="100" t="s">
        <v>236</v>
      </c>
    </row>
    <row r="14" spans="1:1" s="94" customFormat="1" ht="60.65" customHeight="1" x14ac:dyDescent="0.25">
      <c r="A14" s="101" t="s">
        <v>248</v>
      </c>
    </row>
    <row r="15" spans="1:1" s="99" customFormat="1" ht="21" customHeight="1" x14ac:dyDescent="0.25">
      <c r="A15" s="100" t="s">
        <v>237</v>
      </c>
    </row>
    <row r="16" spans="1:1" s="102" customFormat="1" ht="163.5" customHeight="1" x14ac:dyDescent="0.25">
      <c r="A16" s="96" t="s">
        <v>256</v>
      </c>
    </row>
    <row r="17" spans="1:1" s="102" customFormat="1" ht="28" x14ac:dyDescent="0.25">
      <c r="A17" s="131" t="s">
        <v>244</v>
      </c>
    </row>
    <row r="18" spans="1:1" s="102" customFormat="1" ht="39.65" customHeight="1" x14ac:dyDescent="0.25">
      <c r="A18" s="189" t="s">
        <v>240</v>
      </c>
    </row>
    <row r="19" spans="1:1" s="102" customFormat="1" ht="21" customHeight="1" x14ac:dyDescent="0.25">
      <c r="A19" s="190" t="s">
        <v>208</v>
      </c>
    </row>
    <row r="20" spans="1:1" s="102" customFormat="1" ht="21" customHeight="1" x14ac:dyDescent="0.25">
      <c r="A20" s="190" t="s">
        <v>209</v>
      </c>
    </row>
    <row r="21" spans="1:1" s="102" customFormat="1" ht="21" customHeight="1" x14ac:dyDescent="0.25">
      <c r="A21" s="191" t="s">
        <v>210</v>
      </c>
    </row>
    <row r="22" spans="1:1" s="102" customFormat="1" ht="127.4" customHeight="1" x14ac:dyDescent="0.25">
      <c r="A22" s="93" t="s">
        <v>245</v>
      </c>
    </row>
    <row r="23" spans="1:1" s="102" customFormat="1" ht="21" customHeight="1" x14ac:dyDescent="0.25">
      <c r="A23" s="100" t="s">
        <v>257</v>
      </c>
    </row>
    <row r="24" spans="1:1" s="102" customFormat="1" ht="70.5" customHeight="1" x14ac:dyDescent="0.25">
      <c r="A24" s="101" t="s">
        <v>258</v>
      </c>
    </row>
    <row r="25" spans="1:1" s="104" customFormat="1" ht="21" customHeight="1" x14ac:dyDescent="0.25">
      <c r="A25" s="103" t="s">
        <v>239</v>
      </c>
    </row>
    <row r="26" spans="1:1" s="94" customFormat="1" ht="97.5" customHeight="1" x14ac:dyDescent="0.25">
      <c r="A26" s="105" t="s">
        <v>249</v>
      </c>
    </row>
    <row r="27" spans="1:1" s="99" customFormat="1" ht="21" customHeight="1" x14ac:dyDescent="0.25">
      <c r="A27" s="100" t="s">
        <v>174</v>
      </c>
    </row>
    <row r="28" spans="1:1" s="94" customFormat="1" ht="38.5" customHeight="1" x14ac:dyDescent="0.25">
      <c r="A28" s="101" t="s">
        <v>175</v>
      </c>
    </row>
    <row r="29" spans="1:1" s="94" customFormat="1" ht="69" customHeight="1" x14ac:dyDescent="0.25">
      <c r="A29" s="101" t="s">
        <v>176</v>
      </c>
    </row>
    <row r="30" spans="1:1" s="99" customFormat="1" ht="51.65" customHeight="1" x14ac:dyDescent="0.25">
      <c r="A30" s="106" t="s">
        <v>246</v>
      </c>
    </row>
    <row r="31" spans="1:1" s="99" customFormat="1" ht="21" customHeight="1" x14ac:dyDescent="0.25">
      <c r="A31" s="107" t="s">
        <v>177</v>
      </c>
    </row>
    <row r="32" spans="1:1" ht="21" customHeight="1" x14ac:dyDescent="0.25">
      <c r="A32" s="108" t="s">
        <v>260</v>
      </c>
    </row>
    <row r="33" spans="1:1" ht="21" customHeight="1" x14ac:dyDescent="0.25">
      <c r="A33" s="108" t="s">
        <v>178</v>
      </c>
    </row>
    <row r="34" spans="1:1" s="94" customFormat="1" ht="21" customHeight="1" x14ac:dyDescent="0.25">
      <c r="A34" s="108" t="s">
        <v>179</v>
      </c>
    </row>
    <row r="35" spans="1:1" s="94" customFormat="1" ht="21" customHeight="1" x14ac:dyDescent="0.25">
      <c r="A35" s="108" t="s">
        <v>180</v>
      </c>
    </row>
    <row r="36" spans="1:1" s="94" customFormat="1" ht="21" customHeight="1" x14ac:dyDescent="0.25">
      <c r="A36" s="108" t="s">
        <v>181</v>
      </c>
    </row>
    <row r="37" spans="1:1" s="94" customFormat="1" ht="21" customHeight="1" x14ac:dyDescent="0.25">
      <c r="A37" s="100" t="s">
        <v>261</v>
      </c>
    </row>
    <row r="38" spans="1:1" s="99" customFormat="1" ht="21" customHeight="1" x14ac:dyDescent="0.25">
      <c r="A38" s="109" t="s">
        <v>182</v>
      </c>
    </row>
    <row r="39" spans="1:1" s="111" customFormat="1" ht="145.4" customHeight="1" x14ac:dyDescent="0.25">
      <c r="A39" s="110" t="s">
        <v>183</v>
      </c>
    </row>
    <row r="40" spans="1:1" s="111" customFormat="1" ht="57.65" customHeight="1" x14ac:dyDescent="0.25">
      <c r="A40" s="110" t="s">
        <v>184</v>
      </c>
    </row>
    <row r="41" spans="1:1" s="111" customFormat="1" ht="64.400000000000006" customHeight="1" x14ac:dyDescent="0.25">
      <c r="A41" s="110" t="s">
        <v>185</v>
      </c>
    </row>
    <row r="42" spans="1:1" s="111" customFormat="1" ht="93" customHeight="1" x14ac:dyDescent="0.25">
      <c r="A42" s="110" t="s">
        <v>186</v>
      </c>
    </row>
    <row r="43" spans="1:1" s="111" customFormat="1" ht="28.4" customHeight="1" x14ac:dyDescent="0.25">
      <c r="A43" s="110" t="s">
        <v>187</v>
      </c>
    </row>
    <row r="44" spans="1:1" s="111" customFormat="1" ht="26.15" customHeight="1" x14ac:dyDescent="0.25">
      <c r="A44" s="112" t="s">
        <v>188</v>
      </c>
    </row>
    <row r="45" spans="1:1" s="111" customFormat="1" ht="36" customHeight="1" x14ac:dyDescent="0.25">
      <c r="A45" s="110" t="s">
        <v>189</v>
      </c>
    </row>
    <row r="46" spans="1:1" s="111" customFormat="1" ht="20.25" customHeight="1" x14ac:dyDescent="0.25">
      <c r="A46" s="110" t="s">
        <v>190</v>
      </c>
    </row>
    <row r="47" spans="1:1" s="111" customFormat="1" ht="21.65" customHeight="1" x14ac:dyDescent="0.25">
      <c r="A47" s="110" t="s">
        <v>191</v>
      </c>
    </row>
    <row r="48" spans="1:1" s="111" customFormat="1" ht="24.65" customHeight="1" x14ac:dyDescent="0.25">
      <c r="A48" s="112" t="s">
        <v>192</v>
      </c>
    </row>
    <row r="49" spans="1:1" s="111" customFormat="1" ht="17.5" customHeight="1" x14ac:dyDescent="0.25">
      <c r="A49" s="112" t="s">
        <v>193</v>
      </c>
    </row>
    <row r="50" spans="1:1" s="111" customFormat="1" ht="35.15" customHeight="1" x14ac:dyDescent="0.25">
      <c r="A50" s="112" t="s">
        <v>194</v>
      </c>
    </row>
    <row r="51" spans="1:1" s="111" customFormat="1" ht="57" customHeight="1" x14ac:dyDescent="0.25">
      <c r="A51" s="112" t="s">
        <v>195</v>
      </c>
    </row>
    <row r="52" spans="1:1" s="111" customFormat="1" ht="62.15" customHeight="1" x14ac:dyDescent="0.25">
      <c r="A52" s="112" t="s">
        <v>196</v>
      </c>
    </row>
    <row r="53" spans="1:1" s="111" customFormat="1" ht="122.15" customHeight="1" x14ac:dyDescent="0.25">
      <c r="A53" s="112" t="s">
        <v>197</v>
      </c>
    </row>
    <row r="54" spans="1:1" s="111" customFormat="1" ht="69.650000000000006" customHeight="1" x14ac:dyDescent="0.25">
      <c r="A54" s="112" t="s">
        <v>198</v>
      </c>
    </row>
    <row r="55" spans="1:1" s="111" customFormat="1" ht="24" customHeight="1" x14ac:dyDescent="0.25">
      <c r="A55" s="112" t="s">
        <v>199</v>
      </c>
    </row>
    <row r="56" spans="1:1" s="111" customFormat="1" ht="23.15" customHeight="1" x14ac:dyDescent="0.25">
      <c r="A56" s="112" t="s">
        <v>200</v>
      </c>
    </row>
    <row r="57" spans="1:1" s="94" customFormat="1" ht="87" x14ac:dyDescent="0.25">
      <c r="A57" s="112" t="s">
        <v>201</v>
      </c>
    </row>
    <row r="58" spans="1:1" s="94" customFormat="1" ht="51.65" customHeight="1" x14ac:dyDescent="0.25">
      <c r="A58" s="112" t="s">
        <v>202</v>
      </c>
    </row>
    <row r="59" spans="1:1" s="94" customFormat="1" ht="89.5" customHeight="1" x14ac:dyDescent="0.25">
      <c r="A59" s="112" t="s">
        <v>203</v>
      </c>
    </row>
    <row r="60" spans="1:1" s="94" customFormat="1" ht="32.5" customHeight="1" x14ac:dyDescent="0.25">
      <c r="A60" s="112" t="s">
        <v>204</v>
      </c>
    </row>
    <row r="61" spans="1:1" hidden="1" x14ac:dyDescent="0.25">
      <c r="A61" s="113"/>
    </row>
    <row r="62" spans="1:1" hidden="1" x14ac:dyDescent="0.25">
      <c r="A62" s="113"/>
    </row>
    <row r="63" spans="1:1" hidden="1" x14ac:dyDescent="0.25">
      <c r="A63" s="113"/>
    </row>
    <row r="64" spans="1:1" s="187" customFormat="1" x14ac:dyDescent="0.25"/>
    <row r="65" s="188" customFormat="1" x14ac:dyDescent="0.25"/>
    <row r="66" s="188" customFormat="1" x14ac:dyDescent="0.25"/>
    <row r="67" s="188" customFormat="1" x14ac:dyDescent="0.25"/>
    <row r="68" s="188" customFormat="1" x14ac:dyDescent="0.25"/>
    <row r="69" s="188" customFormat="1" x14ac:dyDescent="0.25"/>
    <row r="70" s="188" customFormat="1" x14ac:dyDescent="0.25"/>
    <row r="71" s="188" customFormat="1" x14ac:dyDescent="0.25"/>
    <row r="72" s="188" customFormat="1" x14ac:dyDescent="0.25"/>
    <row r="73" s="188" customFormat="1" x14ac:dyDescent="0.25"/>
    <row r="74" s="188" customFormat="1" x14ac:dyDescent="0.25"/>
    <row r="75" s="188" customFormat="1" x14ac:dyDescent="0.25"/>
    <row r="76" s="188" customFormat="1" x14ac:dyDescent="0.25"/>
    <row r="77" s="188" customFormat="1" x14ac:dyDescent="0.25"/>
    <row r="78" s="188" customFormat="1" x14ac:dyDescent="0.25"/>
    <row r="79" s="188" customFormat="1" x14ac:dyDescent="0.25"/>
    <row r="80" s="188" customFormat="1" x14ac:dyDescent="0.25"/>
    <row r="81" s="188" customFormat="1" x14ac:dyDescent="0.25"/>
    <row r="82" s="188" customFormat="1" x14ac:dyDescent="0.25"/>
    <row r="83" s="188" customFormat="1" x14ac:dyDescent="0.25"/>
    <row r="84" s="188" customFormat="1" x14ac:dyDescent="0.25"/>
    <row r="85" s="188" customFormat="1" x14ac:dyDescent="0.25"/>
    <row r="86" s="188" customFormat="1" x14ac:dyDescent="0.25"/>
    <row r="87" s="188" customFormat="1" x14ac:dyDescent="0.25"/>
    <row r="88" s="188" customFormat="1" x14ac:dyDescent="0.25"/>
    <row r="89" s="188" customFormat="1" x14ac:dyDescent="0.25"/>
    <row r="90" s="188" customFormat="1" x14ac:dyDescent="0.25"/>
    <row r="91" s="188" customFormat="1" x14ac:dyDescent="0.25"/>
    <row r="92" s="188" customFormat="1" x14ac:dyDescent="0.25"/>
    <row r="93" s="188" customFormat="1" x14ac:dyDescent="0.25"/>
    <row r="94" s="188" customFormat="1" x14ac:dyDescent="0.25"/>
    <row r="95" s="188" customFormat="1" x14ac:dyDescent="0.25"/>
    <row r="96" s="188" customFormat="1" x14ac:dyDescent="0.25"/>
    <row r="97" s="188" customFormat="1" x14ac:dyDescent="0.25"/>
    <row r="98" s="188" customFormat="1" x14ac:dyDescent="0.25"/>
    <row r="99" s="188" customFormat="1" x14ac:dyDescent="0.25"/>
    <row r="100" s="188" customFormat="1" x14ac:dyDescent="0.25"/>
    <row r="101" s="188" customFormat="1" x14ac:dyDescent="0.25"/>
    <row r="102" s="188" customFormat="1" x14ac:dyDescent="0.25"/>
    <row r="103" s="188" customFormat="1" x14ac:dyDescent="0.25"/>
    <row r="104" s="188" customFormat="1" x14ac:dyDescent="0.25"/>
    <row r="105" s="188" customFormat="1" x14ac:dyDescent="0.25"/>
    <row r="106" s="188" customFormat="1" x14ac:dyDescent="0.25"/>
    <row r="107" s="188" customFormat="1" x14ac:dyDescent="0.25"/>
    <row r="108" s="188" customFormat="1" x14ac:dyDescent="0.25"/>
    <row r="109" s="188" customFormat="1" x14ac:dyDescent="0.25"/>
    <row r="110" s="188" customFormat="1" x14ac:dyDescent="0.25"/>
    <row r="111" s="188" customFormat="1" x14ac:dyDescent="0.25"/>
    <row r="112" s="188" customFormat="1" x14ac:dyDescent="0.25"/>
    <row r="113" s="188" customFormat="1" x14ac:dyDescent="0.25"/>
    <row r="114" s="188" customFormat="1" x14ac:dyDescent="0.25"/>
    <row r="115" s="188" customFormat="1" x14ac:dyDescent="0.25"/>
    <row r="116" s="188" customFormat="1" x14ac:dyDescent="0.25"/>
    <row r="117" s="188" customFormat="1" x14ac:dyDescent="0.25"/>
    <row r="118" s="188" customFormat="1" x14ac:dyDescent="0.25"/>
    <row r="119" s="188" customFormat="1" x14ac:dyDescent="0.25"/>
    <row r="120" s="188" customFormat="1" x14ac:dyDescent="0.25"/>
    <row r="121" s="188" customFormat="1" x14ac:dyDescent="0.25"/>
    <row r="122" s="188" customFormat="1" x14ac:dyDescent="0.25"/>
    <row r="123" s="188" customFormat="1" x14ac:dyDescent="0.25"/>
    <row r="124" s="188" customFormat="1" x14ac:dyDescent="0.25"/>
    <row r="125" s="188" customFormat="1" x14ac:dyDescent="0.25"/>
    <row r="126" s="188" customFormat="1" x14ac:dyDescent="0.25"/>
    <row r="127" s="188" customFormat="1" x14ac:dyDescent="0.25"/>
    <row r="128" s="188" customFormat="1" x14ac:dyDescent="0.25"/>
    <row r="129" s="188" customFormat="1" x14ac:dyDescent="0.25"/>
    <row r="130" s="188" customFormat="1" x14ac:dyDescent="0.25"/>
    <row r="131" s="188" customFormat="1" x14ac:dyDescent="0.25"/>
    <row r="132" s="188" customFormat="1" x14ac:dyDescent="0.25"/>
    <row r="133" s="188" customFormat="1" x14ac:dyDescent="0.25"/>
    <row r="134" s="188" customFormat="1" x14ac:dyDescent="0.25"/>
    <row r="135" s="188" customFormat="1" x14ac:dyDescent="0.25"/>
    <row r="136" s="188" customFormat="1" x14ac:dyDescent="0.25"/>
    <row r="137" s="188" customFormat="1" x14ac:dyDescent="0.25"/>
    <row r="138" s="188" customFormat="1" x14ac:dyDescent="0.25"/>
    <row r="139" s="188" customFormat="1" x14ac:dyDescent="0.25"/>
    <row r="140" s="188" customFormat="1" x14ac:dyDescent="0.25"/>
    <row r="141" s="188" customFormat="1" x14ac:dyDescent="0.25"/>
    <row r="142" s="188" customFormat="1" x14ac:dyDescent="0.25"/>
    <row r="143" s="188" customFormat="1" x14ac:dyDescent="0.25"/>
    <row r="144" s="188" customFormat="1" x14ac:dyDescent="0.25"/>
    <row r="145" s="188" customFormat="1" x14ac:dyDescent="0.25"/>
    <row r="146" s="188" customFormat="1" x14ac:dyDescent="0.25"/>
    <row r="147" s="188" customFormat="1" x14ac:dyDescent="0.25"/>
    <row r="148" s="188" customFormat="1" x14ac:dyDescent="0.25"/>
    <row r="149" s="188" customFormat="1" x14ac:dyDescent="0.25"/>
    <row r="150" s="188" customFormat="1" x14ac:dyDescent="0.25"/>
    <row r="151" s="188" customFormat="1" x14ac:dyDescent="0.25"/>
    <row r="152" s="188" customFormat="1" x14ac:dyDescent="0.25"/>
    <row r="153" s="188" customFormat="1" x14ac:dyDescent="0.25"/>
    <row r="154" s="188" customFormat="1" x14ac:dyDescent="0.25"/>
    <row r="155" s="188" customFormat="1" x14ac:dyDescent="0.25"/>
    <row r="156" s="188" customFormat="1" x14ac:dyDescent="0.25"/>
    <row r="157" s="188" customFormat="1" x14ac:dyDescent="0.25"/>
    <row r="158" s="188" customFormat="1" x14ac:dyDescent="0.25"/>
    <row r="159" s="188" customFormat="1" x14ac:dyDescent="0.25"/>
    <row r="160" s="188" customFormat="1" x14ac:dyDescent="0.25"/>
    <row r="161" s="188" customFormat="1" x14ac:dyDescent="0.25"/>
    <row r="162" s="188" customFormat="1" x14ac:dyDescent="0.25"/>
    <row r="163" s="188" customFormat="1" x14ac:dyDescent="0.25"/>
    <row r="164" s="188" customFormat="1" x14ac:dyDescent="0.25"/>
    <row r="165" s="188" customFormat="1" x14ac:dyDescent="0.25"/>
    <row r="166" s="188" customFormat="1" x14ac:dyDescent="0.25"/>
    <row r="167" s="188" customFormat="1" x14ac:dyDescent="0.25"/>
    <row r="168" s="188" customFormat="1" x14ac:dyDescent="0.25"/>
    <row r="169" s="188" customFormat="1" x14ac:dyDescent="0.25"/>
    <row r="170" s="188" customFormat="1" x14ac:dyDescent="0.25"/>
    <row r="171" s="188" customFormat="1" x14ac:dyDescent="0.25"/>
    <row r="172" s="188" customFormat="1" x14ac:dyDescent="0.25"/>
    <row r="173" s="188" customFormat="1" x14ac:dyDescent="0.25"/>
    <row r="174" s="188" customFormat="1" x14ac:dyDescent="0.25"/>
    <row r="175" s="188" customFormat="1" x14ac:dyDescent="0.25"/>
    <row r="176" s="188" customFormat="1" x14ac:dyDescent="0.25"/>
    <row r="177" s="188" customFormat="1" x14ac:dyDescent="0.25"/>
    <row r="178" s="188" customFormat="1" x14ac:dyDescent="0.25"/>
    <row r="179" s="188" customFormat="1" x14ac:dyDescent="0.25"/>
    <row r="180" s="188" customFormat="1" x14ac:dyDescent="0.25"/>
    <row r="181" s="188" customFormat="1" x14ac:dyDescent="0.25"/>
    <row r="182" s="188" customFormat="1" x14ac:dyDescent="0.25"/>
    <row r="183" s="188" customFormat="1" x14ac:dyDescent="0.25"/>
    <row r="184" s="188" customFormat="1" x14ac:dyDescent="0.25"/>
    <row r="185" s="188" customFormat="1" x14ac:dyDescent="0.25"/>
    <row r="186" s="188" customFormat="1" x14ac:dyDescent="0.25"/>
    <row r="187" s="188" customFormat="1" x14ac:dyDescent="0.25"/>
    <row r="188" s="188" customFormat="1" x14ac:dyDescent="0.25"/>
    <row r="189" s="188" customFormat="1" x14ac:dyDescent="0.25"/>
    <row r="190" s="188" customFormat="1" x14ac:dyDescent="0.25"/>
    <row r="191" s="188"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N15" sqref="N15"/>
    </sheetView>
  </sheetViews>
  <sheetFormatPr defaultColWidth="8.54296875" defaultRowHeight="12.5" x14ac:dyDescent="0.25"/>
  <cols>
    <col min="5" max="5" width="17.453125" customWidth="1"/>
  </cols>
  <sheetData>
    <row r="1" spans="1:19" s="2" customFormat="1" ht="30" customHeight="1" x14ac:dyDescent="0.25">
      <c r="A1" s="222" t="s">
        <v>137</v>
      </c>
      <c r="B1" s="222"/>
      <c r="C1" s="222"/>
      <c r="D1" s="222"/>
      <c r="E1" s="222"/>
      <c r="F1" s="222"/>
      <c r="G1" s="222"/>
      <c r="H1" s="222"/>
      <c r="I1" s="222"/>
      <c r="J1" s="222"/>
      <c r="K1" s="222"/>
      <c r="L1" s="222"/>
      <c r="M1" s="222"/>
      <c r="N1" s="222"/>
      <c r="O1" s="222"/>
      <c r="P1" s="222"/>
      <c r="Q1" s="222"/>
    </row>
    <row r="2" spans="1:19" s="2" customFormat="1" ht="30" customHeight="1" thickBot="1" x14ac:dyDescent="0.3">
      <c r="A2" s="224" t="s">
        <v>138</v>
      </c>
      <c r="B2" s="224"/>
      <c r="C2" s="224"/>
      <c r="D2" s="224"/>
      <c r="E2" s="224"/>
      <c r="F2" s="6"/>
      <c r="G2" s="6"/>
      <c r="H2" s="6"/>
      <c r="I2" s="6"/>
      <c r="J2" s="6"/>
      <c r="K2" s="6"/>
      <c r="L2" s="6"/>
      <c r="M2" s="6"/>
      <c r="N2" s="6"/>
      <c r="O2" s="6"/>
      <c r="P2" s="6"/>
    </row>
    <row r="3" spans="1:19" s="2" customFormat="1" ht="30" customHeight="1" thickBot="1" x14ac:dyDescent="0.3">
      <c r="A3" s="223" t="s">
        <v>10</v>
      </c>
      <c r="B3" s="223"/>
      <c r="C3" s="234" t="s">
        <v>263</v>
      </c>
      <c r="D3" s="235"/>
      <c r="E3" s="235"/>
      <c r="F3" s="235"/>
      <c r="G3" s="235"/>
      <c r="H3" s="235"/>
      <c r="I3" s="235"/>
      <c r="J3" s="235"/>
      <c r="K3" s="235"/>
      <c r="L3" s="235"/>
      <c r="M3" s="235"/>
      <c r="N3" s="235"/>
      <c r="O3" s="235"/>
      <c r="P3" s="235"/>
      <c r="Q3" s="235"/>
      <c r="R3" s="235"/>
      <c r="S3" s="236"/>
    </row>
    <row r="4" spans="1:19" s="5" customFormat="1" ht="30" customHeight="1" thickBot="1" x14ac:dyDescent="0.3">
      <c r="A4" s="223" t="s">
        <v>5</v>
      </c>
      <c r="B4" s="223"/>
      <c r="C4" s="223"/>
      <c r="D4" s="229"/>
      <c r="E4" s="230" t="s">
        <v>264</v>
      </c>
      <c r="F4" s="231"/>
      <c r="G4" s="231"/>
      <c r="H4" s="232"/>
      <c r="I4" s="4"/>
      <c r="J4" s="4"/>
      <c r="K4" s="4"/>
      <c r="L4" s="4"/>
      <c r="M4" s="4"/>
      <c r="N4" s="4"/>
      <c r="O4" s="4"/>
      <c r="P4" s="4"/>
      <c r="Q4" s="4"/>
      <c r="R4" s="4"/>
      <c r="S4" s="4"/>
    </row>
    <row r="5" spans="1:19" s="5" customFormat="1" ht="30" customHeight="1" thickBot="1" x14ac:dyDescent="0.3">
      <c r="A5" s="223" t="s">
        <v>6</v>
      </c>
      <c r="B5" s="223"/>
      <c r="C5" s="223"/>
      <c r="D5" s="223"/>
      <c r="E5" s="223"/>
      <c r="F5" s="223"/>
      <c r="G5" s="223"/>
      <c r="H5" s="4"/>
      <c r="I5" s="4"/>
      <c r="J5" s="4"/>
      <c r="K5" s="4"/>
      <c r="L5" s="4"/>
      <c r="M5" s="4"/>
      <c r="N5" s="4"/>
      <c r="O5" s="4"/>
      <c r="P5" s="4"/>
      <c r="Q5" s="4"/>
      <c r="R5" s="4"/>
      <c r="S5" s="4"/>
    </row>
    <row r="6" spans="1:19" s="5" customFormat="1" ht="30" customHeight="1" thickBot="1" x14ac:dyDescent="0.3">
      <c r="A6" s="225" t="s">
        <v>7</v>
      </c>
      <c r="B6" s="225"/>
      <c r="C6" s="225"/>
      <c r="D6" s="225"/>
      <c r="E6" s="225"/>
      <c r="F6" s="225"/>
      <c r="G6" s="225"/>
      <c r="H6" s="226" t="s">
        <v>265</v>
      </c>
      <c r="I6" s="227"/>
      <c r="J6" s="227"/>
      <c r="K6" s="227"/>
      <c r="L6" s="227"/>
      <c r="M6" s="227"/>
      <c r="N6" s="227"/>
      <c r="O6" s="227"/>
      <c r="P6" s="227"/>
      <c r="Q6" s="228"/>
      <c r="R6" s="4"/>
      <c r="S6" s="4"/>
    </row>
    <row r="7" spans="1:19" s="5" customFormat="1" ht="30" customHeight="1" thickBot="1" x14ac:dyDescent="0.3">
      <c r="A7" s="225" t="s">
        <v>8</v>
      </c>
      <c r="B7" s="225"/>
      <c r="C7" s="225"/>
      <c r="D7" s="225"/>
      <c r="E7" s="225"/>
      <c r="F7" s="225"/>
      <c r="G7" s="225"/>
      <c r="H7" s="233" t="s">
        <v>266</v>
      </c>
      <c r="I7" s="227"/>
      <c r="J7" s="227"/>
      <c r="K7" s="227"/>
      <c r="L7" s="227"/>
      <c r="M7" s="227"/>
      <c r="N7" s="227"/>
      <c r="O7" s="227"/>
      <c r="P7" s="227"/>
      <c r="Q7" s="228"/>
      <c r="R7" s="4"/>
      <c r="S7" s="4"/>
    </row>
    <row r="8" spans="1:19" s="5" customFormat="1" ht="30" customHeight="1" thickBot="1" x14ac:dyDescent="0.3">
      <c r="A8" s="225" t="s">
        <v>9</v>
      </c>
      <c r="B8" s="225"/>
      <c r="C8" s="225"/>
      <c r="D8" s="225"/>
      <c r="E8" s="225"/>
      <c r="F8" s="225"/>
      <c r="G8" s="225"/>
      <c r="H8" s="226" t="s">
        <v>267</v>
      </c>
      <c r="I8" s="227"/>
      <c r="J8" s="227"/>
      <c r="K8" s="227"/>
      <c r="L8" s="227"/>
      <c r="M8" s="227"/>
      <c r="N8" s="227"/>
      <c r="O8" s="227"/>
      <c r="P8" s="227"/>
      <c r="Q8" s="228"/>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2" orientation="portrait" horizontalDpi="1200" verticalDpi="1200" r:id="rId2"/>
  <headerFooter>
    <oddFooter>&amp;L2017 Six-Year Plan - Institution ID&amp;C&amp;P of &amp;N&amp;RSCHEV - 5/23/17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election activeCell="D26" sqref="D26"/>
    </sheetView>
  </sheetViews>
  <sheetFormatPr defaultRowHeight="12.5" x14ac:dyDescent="0.25"/>
  <cols>
    <col min="1" max="5" width="20.54296875" customWidth="1"/>
  </cols>
  <sheetData>
    <row r="1" spans="1:5" ht="23" x14ac:dyDescent="0.5">
      <c r="A1" s="134" t="s">
        <v>241</v>
      </c>
      <c r="B1" s="135"/>
      <c r="C1" s="135"/>
      <c r="D1" s="135"/>
      <c r="E1" s="135"/>
    </row>
    <row r="2" spans="1:5" ht="22.5" customHeight="1" x14ac:dyDescent="0.25">
      <c r="A2" s="239" t="str">
        <f>'Institution ID'!C3</f>
        <v>William &amp; Mary</v>
      </c>
      <c r="B2" s="239"/>
      <c r="C2" s="239"/>
      <c r="D2" s="239"/>
      <c r="E2" s="239"/>
    </row>
    <row r="3" spans="1:5" ht="16" thickBot="1" x14ac:dyDescent="0.4">
      <c r="A3" s="136"/>
      <c r="B3" s="136"/>
      <c r="C3" s="136"/>
      <c r="D3" s="136"/>
      <c r="E3" s="136"/>
    </row>
    <row r="4" spans="1:5" ht="85.5" customHeight="1" thickBot="1" x14ac:dyDescent="0.3">
      <c r="A4" s="240" t="s">
        <v>217</v>
      </c>
      <c r="B4" s="241"/>
      <c r="C4" s="241"/>
      <c r="D4" s="241"/>
      <c r="E4" s="242"/>
    </row>
    <row r="5" spans="1:5" ht="15.5" x14ac:dyDescent="0.35">
      <c r="A5" s="139"/>
      <c r="B5" s="139"/>
      <c r="C5" s="139"/>
      <c r="D5" s="139"/>
      <c r="E5" s="139"/>
    </row>
    <row r="6" spans="1:5" ht="18.5" thickBot="1" x14ac:dyDescent="0.45">
      <c r="A6" s="243" t="s">
        <v>212</v>
      </c>
      <c r="B6" s="243"/>
      <c r="C6" s="243"/>
      <c r="D6" s="243"/>
      <c r="E6" s="243"/>
    </row>
    <row r="7" spans="1:5" ht="16" thickBot="1" x14ac:dyDescent="0.4">
      <c r="A7" s="137" t="s">
        <v>211</v>
      </c>
      <c r="B7" s="237" t="s">
        <v>213</v>
      </c>
      <c r="C7" s="238"/>
      <c r="D7" s="237" t="s">
        <v>214</v>
      </c>
      <c r="E7" s="238"/>
    </row>
    <row r="8" spans="1:5" ht="31.5" thickBot="1" x14ac:dyDescent="0.4">
      <c r="A8" s="137" t="s">
        <v>218</v>
      </c>
      <c r="B8" s="137" t="s">
        <v>219</v>
      </c>
      <c r="C8" s="137" t="s">
        <v>215</v>
      </c>
      <c r="D8" s="137" t="s">
        <v>219</v>
      </c>
      <c r="E8" s="137" t="s">
        <v>215</v>
      </c>
    </row>
    <row r="9" spans="1:5" ht="16" thickBot="1" x14ac:dyDescent="0.4">
      <c r="A9" s="138">
        <v>17570</v>
      </c>
      <c r="B9" s="138">
        <f>17434*1.046+136</f>
        <v>18371.964</v>
      </c>
      <c r="C9" s="200">
        <f>IF(B9=0,"%",B9/A9-1)</f>
        <v>4.564393853158788E-2</v>
      </c>
      <c r="D9" s="138">
        <f>18236*1.035+136</f>
        <v>19010.259999999998</v>
      </c>
      <c r="E9" s="200">
        <f>IF(D9=0,"%",D9/B9-1)</f>
        <v>3.4742937663060802E-2</v>
      </c>
    </row>
    <row r="10" spans="1:5" ht="15.5" x14ac:dyDescent="0.35">
      <c r="A10" s="184"/>
      <c r="B10" s="184"/>
      <c r="C10" s="185"/>
      <c r="D10" s="184"/>
      <c r="E10" s="185"/>
    </row>
    <row r="11" spans="1:5" ht="15.5" x14ac:dyDescent="0.35">
      <c r="A11" s="139"/>
      <c r="B11" s="139"/>
      <c r="C11" s="139"/>
      <c r="D11" s="139"/>
      <c r="E11" s="139"/>
    </row>
    <row r="12" spans="1:5" ht="18.5" thickBot="1" x14ac:dyDescent="0.45">
      <c r="A12" s="243" t="s">
        <v>216</v>
      </c>
      <c r="B12" s="243"/>
      <c r="C12" s="243"/>
      <c r="D12" s="243"/>
      <c r="E12" s="243"/>
    </row>
    <row r="13" spans="1:5" ht="16" thickBot="1" x14ac:dyDescent="0.4">
      <c r="A13" s="137" t="s">
        <v>211</v>
      </c>
      <c r="B13" s="237" t="s">
        <v>213</v>
      </c>
      <c r="C13" s="238"/>
      <c r="D13" s="237" t="s">
        <v>214</v>
      </c>
      <c r="E13" s="238"/>
    </row>
    <row r="14" spans="1:5" ht="31.5" thickBot="1" x14ac:dyDescent="0.4">
      <c r="A14" s="137" t="s">
        <v>218</v>
      </c>
      <c r="B14" s="137" t="s">
        <v>219</v>
      </c>
      <c r="C14" s="137" t="s">
        <v>215</v>
      </c>
      <c r="D14" s="137" t="s">
        <v>219</v>
      </c>
      <c r="E14" s="137" t="s">
        <v>215</v>
      </c>
    </row>
    <row r="15" spans="1:5" ht="16" thickBot="1" x14ac:dyDescent="0.4">
      <c r="A15" s="138">
        <v>6242</v>
      </c>
      <c r="B15" s="138">
        <f>A15*1.03</f>
        <v>6429.26</v>
      </c>
      <c r="C15" s="200">
        <f>IF(B15=0,"%",B15/A15-1)</f>
        <v>3.0000000000000027E-2</v>
      </c>
      <c r="D15" s="138">
        <f>B15*1.03</f>
        <v>6622.1378000000004</v>
      </c>
      <c r="E15" s="200">
        <f>IF(D15=0,"%",D15/B15-1)</f>
        <v>3.0000000000000027E-2</v>
      </c>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80" zoomScaleNormal="80" zoomScalePageLayoutView="150" workbookViewId="0">
      <selection activeCell="I21" sqref="I21"/>
    </sheetView>
  </sheetViews>
  <sheetFormatPr defaultColWidth="8.54296875" defaultRowHeight="12.5" x14ac:dyDescent="0.25"/>
  <cols>
    <col min="1" max="1" width="29.7265625" customWidth="1"/>
    <col min="2" max="2" width="20.54296875" style="9" customWidth="1"/>
    <col min="3" max="3" width="23.7265625" bestFit="1" customWidth="1"/>
    <col min="4" max="5" width="20.54296875" customWidth="1"/>
    <col min="6" max="6" width="10.453125" bestFit="1" customWidth="1"/>
  </cols>
  <sheetData>
    <row r="1" spans="1:6" s="1" customFormat="1" ht="20.149999999999999" customHeight="1" x14ac:dyDescent="0.25">
      <c r="A1" s="82" t="s">
        <v>220</v>
      </c>
      <c r="B1" s="82"/>
      <c r="C1" s="82"/>
      <c r="D1" s="82"/>
      <c r="E1" s="82"/>
    </row>
    <row r="2" spans="1:6" s="1" customFormat="1" ht="20.149999999999999" customHeight="1" x14ac:dyDescent="0.25">
      <c r="A2" s="245" t="str">
        <f>'Institution ID'!C3</f>
        <v>William &amp; Mary</v>
      </c>
      <c r="B2" s="245"/>
      <c r="C2" s="245"/>
      <c r="D2" s="245"/>
      <c r="E2" s="245"/>
    </row>
    <row r="3" spans="1:6" s="2" customFormat="1" ht="87.65" customHeight="1" x14ac:dyDescent="0.25">
      <c r="A3" s="247" t="s">
        <v>250</v>
      </c>
      <c r="B3" s="248"/>
      <c r="C3" s="248"/>
      <c r="D3" s="248"/>
      <c r="E3" s="249"/>
    </row>
    <row r="4" spans="1:6" ht="15" customHeight="1" x14ac:dyDescent="0.3">
      <c r="A4" s="246" t="s">
        <v>0</v>
      </c>
      <c r="B4" s="75" t="s">
        <v>142</v>
      </c>
      <c r="C4" s="75" t="s">
        <v>150</v>
      </c>
      <c r="D4" s="75" t="s">
        <v>143</v>
      </c>
      <c r="E4" s="75" t="s">
        <v>144</v>
      </c>
    </row>
    <row r="5" spans="1:6" ht="30" customHeight="1" x14ac:dyDescent="0.25">
      <c r="A5" s="246"/>
      <c r="B5" s="47" t="s">
        <v>233</v>
      </c>
      <c r="C5" s="47" t="s">
        <v>233</v>
      </c>
      <c r="D5" s="47" t="s">
        <v>234</v>
      </c>
      <c r="E5" s="47" t="s">
        <v>234</v>
      </c>
    </row>
    <row r="6" spans="1:6" ht="15" customHeight="1" x14ac:dyDescent="0.3">
      <c r="A6" s="14" t="s">
        <v>12</v>
      </c>
      <c r="B6" s="244"/>
      <c r="C6" s="244"/>
      <c r="D6" s="244"/>
      <c r="E6" s="244"/>
    </row>
    <row r="7" spans="1:6" ht="15" customHeight="1" x14ac:dyDescent="0.25">
      <c r="A7" s="48" t="s">
        <v>98</v>
      </c>
      <c r="B7" s="13">
        <v>72315913</v>
      </c>
      <c r="C7" s="13">
        <f>ROUND(75329429,-2)</f>
        <v>75329400</v>
      </c>
      <c r="D7" s="13">
        <f>ROUND(80736444,-2)</f>
        <v>80736400</v>
      </c>
      <c r="E7" s="13">
        <f>ROUND(86998383,-2)</f>
        <v>86998400</v>
      </c>
    </row>
    <row r="8" spans="1:6" ht="15" customHeight="1" x14ac:dyDescent="0.25">
      <c r="A8" s="48" t="s">
        <v>99</v>
      </c>
      <c r="B8" s="13">
        <v>82679034</v>
      </c>
      <c r="C8" s="13">
        <f>ROUND(80884449,-2)</f>
        <v>80884400</v>
      </c>
      <c r="D8" s="13">
        <f>ROUND(83735442,-2)</f>
        <v>83735400</v>
      </c>
      <c r="E8" s="13">
        <f>ROUND(88250947,-2)</f>
        <v>88250900</v>
      </c>
    </row>
    <row r="9" spans="1:6" ht="15" customHeight="1" x14ac:dyDescent="0.25">
      <c r="A9" s="48" t="s">
        <v>100</v>
      </c>
      <c r="B9" s="13">
        <v>17846558</v>
      </c>
      <c r="C9" s="13">
        <f>ROUND(17846558,-2)</f>
        <v>17846600</v>
      </c>
      <c r="D9" s="13">
        <f>ROUND(17846558,-2)</f>
        <v>17846600</v>
      </c>
      <c r="E9" s="13">
        <f>ROUND(17846558,-2)</f>
        <v>17846600</v>
      </c>
    </row>
    <row r="10" spans="1:6" ht="15" customHeight="1" x14ac:dyDescent="0.25">
      <c r="A10" s="48" t="s">
        <v>101</v>
      </c>
      <c r="B10" s="13">
        <v>17355763</v>
      </c>
      <c r="C10" s="13">
        <f>ROUND(16847195,-2)</f>
        <v>16847200</v>
      </c>
      <c r="D10" s="13">
        <f>ROUND(16847195,-2)</f>
        <v>16847200</v>
      </c>
      <c r="E10" s="13">
        <f>ROUND(16847195,-2)</f>
        <v>16847200</v>
      </c>
      <c r="F10" s="54" t="s">
        <v>117</v>
      </c>
    </row>
    <row r="11" spans="1:6" ht="15" customHeight="1" x14ac:dyDescent="0.25">
      <c r="A11" s="48" t="s">
        <v>102</v>
      </c>
      <c r="B11" s="13">
        <v>5563100</v>
      </c>
      <c r="C11" s="13">
        <f>ROUND(4787177,-2)</f>
        <v>4787200</v>
      </c>
      <c r="D11" s="13">
        <f>ROUND(4787177,-2)</f>
        <v>4787200</v>
      </c>
      <c r="E11" s="13">
        <f>ROUND(4787177,-2)</f>
        <v>4787200</v>
      </c>
      <c r="F11" s="8"/>
    </row>
    <row r="12" spans="1:6" ht="15" customHeight="1" x14ac:dyDescent="0.25">
      <c r="A12" s="48" t="s">
        <v>103</v>
      </c>
      <c r="B12" s="13">
        <v>18490865</v>
      </c>
      <c r="C12" s="13">
        <f>ROUND(21417151,-2)</f>
        <v>21417200</v>
      </c>
      <c r="D12" s="13">
        <f>ROUND(21417151,-2)</f>
        <v>21417200</v>
      </c>
      <c r="E12" s="13">
        <f>ROUND(21417151,-2)</f>
        <v>21417200</v>
      </c>
    </row>
    <row r="13" spans="1:6" ht="15" customHeight="1" x14ac:dyDescent="0.25">
      <c r="A13" s="48" t="s">
        <v>104</v>
      </c>
      <c r="B13" s="13">
        <f>0</f>
        <v>0</v>
      </c>
      <c r="C13" s="13">
        <f>0</f>
        <v>0</v>
      </c>
      <c r="D13" s="13">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8" ht="15" customHeight="1" x14ac:dyDescent="0.25">
      <c r="A17" s="48" t="s">
        <v>108</v>
      </c>
      <c r="B17" s="13">
        <f>0</f>
        <v>0</v>
      </c>
      <c r="C17" s="13">
        <f>0</f>
        <v>0</v>
      </c>
      <c r="D17" s="13">
        <f>0</f>
        <v>0</v>
      </c>
      <c r="E17" s="13">
        <f>0</f>
        <v>0</v>
      </c>
    </row>
    <row r="18" spans="1:8" ht="15" customHeight="1" x14ac:dyDescent="0.25">
      <c r="A18" s="48" t="s">
        <v>109</v>
      </c>
      <c r="B18" s="13">
        <f>0</f>
        <v>0</v>
      </c>
      <c r="C18" s="13">
        <f>0</f>
        <v>0</v>
      </c>
      <c r="D18" s="13">
        <f>0</f>
        <v>0</v>
      </c>
      <c r="E18" s="13">
        <f>0</f>
        <v>0</v>
      </c>
    </row>
    <row r="19" spans="1:8" ht="15" customHeight="1" x14ac:dyDescent="0.25">
      <c r="A19" s="48" t="s">
        <v>110</v>
      </c>
      <c r="B19" s="13">
        <f>0</f>
        <v>0</v>
      </c>
      <c r="C19" s="13">
        <f>0</f>
        <v>0</v>
      </c>
      <c r="D19" s="13">
        <f>0</f>
        <v>0</v>
      </c>
      <c r="E19" s="13">
        <f>0</f>
        <v>0</v>
      </c>
    </row>
    <row r="20" spans="1:8" ht="15" customHeight="1" x14ac:dyDescent="0.25">
      <c r="A20" s="48" t="s">
        <v>111</v>
      </c>
      <c r="B20" s="13">
        <f>0</f>
        <v>0</v>
      </c>
      <c r="C20" s="13">
        <f>0</f>
        <v>0</v>
      </c>
      <c r="D20" s="13">
        <f>0</f>
        <v>0</v>
      </c>
      <c r="E20" s="13">
        <f>0</f>
        <v>0</v>
      </c>
    </row>
    <row r="21" spans="1:8" ht="15" customHeight="1" x14ac:dyDescent="0.25">
      <c r="A21" s="11" t="s">
        <v>3</v>
      </c>
      <c r="B21" s="13">
        <v>7555488</v>
      </c>
      <c r="C21" s="13">
        <f>ROUND(7467446,-2)</f>
        <v>7467400</v>
      </c>
      <c r="D21" s="13">
        <v>7500000</v>
      </c>
      <c r="E21" s="13">
        <v>7600000</v>
      </c>
      <c r="F21" t="s">
        <v>117</v>
      </c>
      <c r="H21" s="77"/>
    </row>
    <row r="22" spans="1:8" ht="15" customHeight="1" x14ac:dyDescent="0.25">
      <c r="A22" s="81" t="s">
        <v>222</v>
      </c>
      <c r="B22" s="43">
        <f>SUM(B7:B21)</f>
        <v>221806721</v>
      </c>
      <c r="C22" s="43">
        <f>SUM(C7:C21)</f>
        <v>224579400</v>
      </c>
      <c r="D22" s="43">
        <f>SUM(D7:D21)</f>
        <v>232870000</v>
      </c>
      <c r="E22" s="43">
        <f>SUM(E7:E21)</f>
        <v>243747500</v>
      </c>
    </row>
    <row r="23" spans="1:8" s="9" customFormat="1" ht="15" customHeight="1" x14ac:dyDescent="0.25">
      <c r="A23" s="127"/>
      <c r="B23" s="77"/>
      <c r="C23" s="77"/>
      <c r="D23" s="77"/>
      <c r="E23" s="77"/>
    </row>
    <row r="24" spans="1:8" s="9" customFormat="1" ht="15" customHeight="1" x14ac:dyDescent="0.25">
      <c r="A24" s="127"/>
      <c r="B24" s="77"/>
      <c r="C24" s="77"/>
      <c r="D24" s="77"/>
      <c r="E24" s="77"/>
    </row>
    <row r="25" spans="1:8" s="9" customFormat="1" ht="15" customHeight="1" x14ac:dyDescent="0.3">
      <c r="A25" s="114"/>
      <c r="B25" s="129" t="s">
        <v>142</v>
      </c>
      <c r="C25" s="129" t="s">
        <v>150</v>
      </c>
      <c r="D25" s="129" t="s">
        <v>143</v>
      </c>
      <c r="E25" s="129" t="s">
        <v>144</v>
      </c>
    </row>
    <row r="26" spans="1:8" s="9" customFormat="1" ht="13" x14ac:dyDescent="0.3">
      <c r="A26" s="128" t="s">
        <v>145</v>
      </c>
      <c r="B26" s="130" t="s">
        <v>268</v>
      </c>
      <c r="C26" s="130" t="s">
        <v>268</v>
      </c>
      <c r="D26" s="130" t="s">
        <v>268</v>
      </c>
      <c r="E26" s="130" t="s">
        <v>268</v>
      </c>
    </row>
    <row r="27" spans="1:8" s="9" customFormat="1" ht="15" customHeight="1" x14ac:dyDescent="0.25">
      <c r="A27" s="76" t="s">
        <v>146</v>
      </c>
      <c r="B27" s="78">
        <v>22354399.620000001</v>
      </c>
      <c r="C27" s="78">
        <f>ROUND(B27*1.034,-2)</f>
        <v>23114400</v>
      </c>
      <c r="D27" s="78">
        <f>ROUND(C27*1.03,-2)</f>
        <v>23807800</v>
      </c>
      <c r="E27" s="78">
        <f>ROUND(D27*1.03,-2)</f>
        <v>24522000</v>
      </c>
    </row>
    <row r="28" spans="1:8" s="9" customFormat="1" ht="15" customHeight="1" x14ac:dyDescent="0.25">
      <c r="A28" s="76" t="s">
        <v>147</v>
      </c>
      <c r="B28" s="78">
        <v>18490683.920000002</v>
      </c>
      <c r="C28" s="78">
        <f>ROUND(B28*1.034,-2)</f>
        <v>19119400</v>
      </c>
      <c r="D28" s="78">
        <f>ROUND(C28*1.03,-2)</f>
        <v>19693000</v>
      </c>
      <c r="E28" s="78">
        <f>ROUND(D28*1.03,-2)</f>
        <v>20283800</v>
      </c>
    </row>
    <row r="29" spans="1:8" s="9" customFormat="1" ht="15" customHeight="1" x14ac:dyDescent="0.25">
      <c r="A29" s="76" t="s">
        <v>148</v>
      </c>
      <c r="B29" s="79">
        <f>B28+B27</f>
        <v>40845083.540000007</v>
      </c>
      <c r="C29" s="79">
        <f>C28+C27</f>
        <v>42233800</v>
      </c>
      <c r="D29" s="79">
        <f>D28+D27</f>
        <v>43500800</v>
      </c>
      <c r="E29" s="79">
        <f>E28+E27</f>
        <v>44805800</v>
      </c>
      <c r="H29" s="212"/>
    </row>
    <row r="30" spans="1:8" s="9" customFormat="1" ht="15" customHeight="1" x14ac:dyDescent="0.3">
      <c r="A30" s="80" t="s">
        <v>149</v>
      </c>
      <c r="B30" s="78">
        <v>94837626.409999996</v>
      </c>
      <c r="C30" s="78">
        <v>118218600</v>
      </c>
      <c r="D30" s="78">
        <f>C30+(D29-C29)+1700000</f>
        <v>121185600</v>
      </c>
      <c r="E30" s="78">
        <f>D30+(E29-D29)+1740000</f>
        <v>124230600</v>
      </c>
    </row>
    <row r="31" spans="1:8" s="9" customFormat="1" ht="15" customHeight="1" x14ac:dyDescent="0.3">
      <c r="A31" s="132"/>
      <c r="B31" s="133"/>
      <c r="C31" s="133"/>
      <c r="D31" s="133"/>
      <c r="E31" s="133"/>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4:E20 B22:C22 B13:C13 E13" unlockedFormula="1"/>
    <ignoredError sqref="B29 D29:E29"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zoomScale="80" zoomScaleNormal="80" workbookViewId="0"/>
  </sheetViews>
  <sheetFormatPr defaultColWidth="9.1796875" defaultRowHeight="12.5" x14ac:dyDescent="0.25"/>
  <cols>
    <col min="1" max="1" width="11.453125" style="141" customWidth="1"/>
    <col min="2" max="2" width="50.54296875" style="141" customWidth="1"/>
    <col min="3" max="3" width="7.1796875" style="141" customWidth="1"/>
    <col min="4" max="4" width="18.54296875" style="141" customWidth="1"/>
    <col min="5" max="5" width="15.453125" style="141" customWidth="1"/>
    <col min="6" max="7" width="18.54296875" style="141" customWidth="1"/>
    <col min="8" max="8" width="18.453125" style="141" customWidth="1"/>
    <col min="9" max="9" width="20.26953125" style="141" customWidth="1"/>
    <col min="10" max="11" width="50.54296875" style="141" customWidth="1"/>
    <col min="12" max="12" width="41.81640625" style="141" customWidth="1"/>
    <col min="13" max="16384" width="9.1796875" style="141"/>
  </cols>
  <sheetData>
    <row r="1" spans="1:11" ht="20.149999999999999" customHeight="1" x14ac:dyDescent="0.25">
      <c r="A1" s="140" t="s">
        <v>223</v>
      </c>
      <c r="B1" s="140"/>
      <c r="C1" s="140"/>
      <c r="D1" s="140"/>
      <c r="E1" s="140"/>
      <c r="F1" s="140"/>
      <c r="G1" s="140"/>
      <c r="H1" s="140"/>
      <c r="I1" s="140"/>
    </row>
    <row r="2" spans="1:11" ht="20.149999999999999" customHeight="1" x14ac:dyDescent="0.25">
      <c r="A2" s="279" t="str">
        <f>'Institution ID'!C3</f>
        <v>William &amp; Mary</v>
      </c>
      <c r="B2" s="279"/>
      <c r="C2" s="279"/>
      <c r="D2" s="279"/>
      <c r="E2" s="279"/>
      <c r="F2" s="279"/>
      <c r="G2" s="279"/>
      <c r="H2" s="279"/>
      <c r="I2" s="279"/>
    </row>
    <row r="3" spans="1:11" s="144" customFormat="1" ht="20.149999999999999" customHeight="1" x14ac:dyDescent="0.25">
      <c r="A3" s="142" t="s">
        <v>224</v>
      </c>
      <c r="B3" s="143"/>
      <c r="C3" s="143"/>
      <c r="D3" s="143"/>
      <c r="E3" s="143"/>
      <c r="F3" s="143"/>
    </row>
    <row r="4" spans="1:11" s="145" customFormat="1" ht="30" customHeight="1" x14ac:dyDescent="0.25">
      <c r="A4" s="277" t="s">
        <v>252</v>
      </c>
      <c r="B4" s="277"/>
      <c r="C4" s="277"/>
      <c r="D4" s="277"/>
      <c r="E4" s="277"/>
      <c r="F4" s="277"/>
      <c r="G4" s="277"/>
      <c r="H4" s="277"/>
      <c r="I4" s="277"/>
      <c r="J4" s="277"/>
      <c r="K4" s="277"/>
    </row>
    <row r="5" spans="1:11" s="145" customFormat="1" ht="79.5" customHeight="1" thickBot="1" x14ac:dyDescent="0.3">
      <c r="A5" s="278"/>
      <c r="B5" s="278"/>
      <c r="C5" s="278"/>
      <c r="D5" s="278"/>
      <c r="E5" s="278"/>
      <c r="F5" s="278"/>
      <c r="G5" s="278"/>
      <c r="H5" s="278"/>
      <c r="I5" s="278"/>
      <c r="J5" s="278"/>
      <c r="K5" s="278"/>
    </row>
    <row r="6" spans="1:11" s="146" customFormat="1" ht="20.149999999999999" customHeight="1" thickBot="1" x14ac:dyDescent="0.4">
      <c r="A6" s="280" t="s">
        <v>25</v>
      </c>
      <c r="B6" s="283" t="s">
        <v>162</v>
      </c>
      <c r="C6" s="284"/>
      <c r="D6" s="284"/>
      <c r="E6" s="284"/>
      <c r="F6" s="284"/>
      <c r="G6" s="284"/>
      <c r="H6" s="284"/>
      <c r="I6" s="284"/>
      <c r="J6" s="284"/>
      <c r="K6" s="285"/>
    </row>
    <row r="7" spans="1:11" s="146" customFormat="1" ht="20.149999999999999" customHeight="1" thickBot="1" x14ac:dyDescent="0.4">
      <c r="A7" s="281"/>
      <c r="C7" s="147"/>
      <c r="D7" s="283" t="s">
        <v>141</v>
      </c>
      <c r="E7" s="284"/>
      <c r="F7" s="284"/>
      <c r="G7" s="284"/>
      <c r="H7" s="284"/>
      <c r="I7" s="284"/>
      <c r="J7" s="148" t="s">
        <v>163</v>
      </c>
      <c r="K7" s="149" t="s">
        <v>164</v>
      </c>
    </row>
    <row r="8" spans="1:11" s="146" customFormat="1" ht="20.149999999999999" customHeight="1" thickBot="1" x14ac:dyDescent="0.4">
      <c r="A8" s="281"/>
      <c r="B8" s="286" t="s">
        <v>26</v>
      </c>
      <c r="C8" s="299" t="s">
        <v>122</v>
      </c>
      <c r="D8" s="284"/>
      <c r="E8" s="284"/>
      <c r="F8" s="284"/>
      <c r="G8" s="284"/>
      <c r="H8" s="284"/>
      <c r="I8" s="284"/>
      <c r="J8" s="296" t="s">
        <v>165</v>
      </c>
      <c r="K8" s="293" t="s">
        <v>166</v>
      </c>
    </row>
    <row r="9" spans="1:11" s="146" customFormat="1" ht="20.149999999999999" customHeight="1" thickBot="1" x14ac:dyDescent="0.4">
      <c r="A9" s="281"/>
      <c r="B9" s="287"/>
      <c r="C9" s="300"/>
      <c r="D9" s="289" t="s">
        <v>139</v>
      </c>
      <c r="E9" s="290"/>
      <c r="F9" s="291"/>
      <c r="G9" s="292" t="s">
        <v>140</v>
      </c>
      <c r="H9" s="284"/>
      <c r="I9" s="284"/>
      <c r="J9" s="297"/>
      <c r="K9" s="294"/>
    </row>
    <row r="10" spans="1:11" s="146" customFormat="1" ht="52.5" customHeight="1" thickBot="1" x14ac:dyDescent="0.4">
      <c r="A10" s="282"/>
      <c r="B10" s="288"/>
      <c r="C10" s="301"/>
      <c r="D10" s="151" t="s">
        <v>119</v>
      </c>
      <c r="E10" s="151" t="s">
        <v>4</v>
      </c>
      <c r="F10" s="151" t="s">
        <v>118</v>
      </c>
      <c r="G10" s="151" t="s">
        <v>119</v>
      </c>
      <c r="H10" s="151" t="s">
        <v>4</v>
      </c>
      <c r="I10" s="151" t="s">
        <v>118</v>
      </c>
      <c r="J10" s="298"/>
      <c r="K10" s="295"/>
    </row>
    <row r="11" spans="1:11" ht="51" customHeight="1" thickTop="1" thickBot="1" x14ac:dyDescent="0.3">
      <c r="A11" s="152">
        <v>2</v>
      </c>
      <c r="B11" s="153" t="s">
        <v>269</v>
      </c>
      <c r="C11" s="154">
        <v>3</v>
      </c>
      <c r="D11" s="208">
        <v>1000000</v>
      </c>
      <c r="E11" s="155">
        <f>0</f>
        <v>0</v>
      </c>
      <c r="F11" s="155">
        <v>1000000</v>
      </c>
      <c r="G11" s="210">
        <v>2572500</v>
      </c>
      <c r="H11" s="155">
        <f>0</f>
        <v>0</v>
      </c>
      <c r="I11" s="155">
        <v>2572500</v>
      </c>
      <c r="J11" s="219" t="s">
        <v>278</v>
      </c>
      <c r="K11" s="156" t="s">
        <v>270</v>
      </c>
    </row>
    <row r="12" spans="1:11" ht="43" thickTop="1" thickBot="1" x14ac:dyDescent="0.3">
      <c r="A12" s="152">
        <v>4</v>
      </c>
      <c r="B12" s="153" t="s">
        <v>276</v>
      </c>
      <c r="C12" s="154">
        <v>1</v>
      </c>
      <c r="D12" s="208">
        <v>600000</v>
      </c>
      <c r="E12" s="155">
        <f>0</f>
        <v>0</v>
      </c>
      <c r="F12" s="155">
        <v>600000</v>
      </c>
      <c r="G12" s="210">
        <f>D12+400000</f>
        <v>1000000</v>
      </c>
      <c r="H12" s="155">
        <f>0</f>
        <v>0</v>
      </c>
      <c r="I12" s="155">
        <f>G12</f>
        <v>1000000</v>
      </c>
      <c r="J12" s="219" t="s">
        <v>279</v>
      </c>
      <c r="K12" s="156" t="s">
        <v>274</v>
      </c>
    </row>
    <row r="13" spans="1:11" ht="29" thickTop="1" thickBot="1" x14ac:dyDescent="0.3">
      <c r="A13" s="152">
        <v>5</v>
      </c>
      <c r="B13" s="153" t="s">
        <v>275</v>
      </c>
      <c r="C13" s="154" t="s">
        <v>277</v>
      </c>
      <c r="D13" s="208">
        <v>750000</v>
      </c>
      <c r="E13" s="155">
        <v>50000</v>
      </c>
      <c r="F13" s="155">
        <v>700000</v>
      </c>
      <c r="G13" s="210">
        <v>1500000</v>
      </c>
      <c r="H13" s="155">
        <v>100000</v>
      </c>
      <c r="I13" s="155">
        <v>1400000</v>
      </c>
      <c r="J13" s="219" t="s">
        <v>280</v>
      </c>
      <c r="K13" s="156" t="s">
        <v>274</v>
      </c>
    </row>
    <row r="14" spans="1:11" ht="19" thickTop="1" thickBot="1" x14ac:dyDescent="0.3">
      <c r="A14" s="152"/>
      <c r="B14" s="153"/>
      <c r="C14" s="154"/>
      <c r="D14" s="208">
        <v>0</v>
      </c>
      <c r="E14" s="155">
        <v>0</v>
      </c>
      <c r="F14" s="155">
        <v>0</v>
      </c>
      <c r="G14" s="210">
        <v>0</v>
      </c>
      <c r="H14" s="155">
        <v>0</v>
      </c>
      <c r="I14" s="155">
        <v>0</v>
      </c>
      <c r="J14" s="156"/>
      <c r="K14" s="156"/>
    </row>
    <row r="15" spans="1:11" ht="20.149999999999999" customHeight="1" thickTop="1" thickBot="1" x14ac:dyDescent="0.3">
      <c r="A15" s="152"/>
      <c r="B15" s="153"/>
      <c r="C15" s="154"/>
      <c r="D15" s="208">
        <v>0</v>
      </c>
      <c r="E15" s="155">
        <v>0</v>
      </c>
      <c r="F15" s="155">
        <v>0</v>
      </c>
      <c r="G15" s="210">
        <v>0</v>
      </c>
      <c r="H15" s="155">
        <v>0</v>
      </c>
      <c r="I15" s="155">
        <v>0</v>
      </c>
      <c r="J15" s="156"/>
      <c r="K15" s="156"/>
    </row>
    <row r="16" spans="1:11" ht="20.149999999999999" customHeight="1" thickTop="1" thickBot="1" x14ac:dyDescent="0.3">
      <c r="A16" s="152"/>
      <c r="B16" s="153"/>
      <c r="C16" s="154"/>
      <c r="D16" s="208">
        <f t="shared" ref="D16:D23" si="0">SUM(E16:F16)</f>
        <v>0</v>
      </c>
      <c r="E16" s="155">
        <f>0</f>
        <v>0</v>
      </c>
      <c r="F16" s="155">
        <f>0</f>
        <v>0</v>
      </c>
      <c r="G16" s="210">
        <f t="shared" ref="G16:G23" si="1">SUM(H16:I16)</f>
        <v>0</v>
      </c>
      <c r="H16" s="155">
        <f>0</f>
        <v>0</v>
      </c>
      <c r="I16" s="155">
        <f>0</f>
        <v>0</v>
      </c>
      <c r="J16" s="156"/>
      <c r="K16" s="156"/>
    </row>
    <row r="17" spans="1:12" ht="20.149999999999999" customHeight="1" thickTop="1" thickBot="1" x14ac:dyDescent="0.3">
      <c r="A17" s="152"/>
      <c r="B17" s="153"/>
      <c r="C17" s="154"/>
      <c r="D17" s="208">
        <f t="shared" si="0"/>
        <v>0</v>
      </c>
      <c r="E17" s="155">
        <f>0</f>
        <v>0</v>
      </c>
      <c r="F17" s="155">
        <f>0</f>
        <v>0</v>
      </c>
      <c r="G17" s="210">
        <f t="shared" si="1"/>
        <v>0</v>
      </c>
      <c r="H17" s="155">
        <f>0</f>
        <v>0</v>
      </c>
      <c r="I17" s="155">
        <f>0</f>
        <v>0</v>
      </c>
      <c r="J17" s="156"/>
      <c r="K17" s="156"/>
    </row>
    <row r="18" spans="1:12" ht="20.149999999999999" customHeight="1" thickTop="1" thickBot="1" x14ac:dyDescent="0.3">
      <c r="A18" s="152"/>
      <c r="B18" s="153"/>
      <c r="C18" s="154"/>
      <c r="D18" s="208">
        <f t="shared" si="0"/>
        <v>0</v>
      </c>
      <c r="E18" s="155">
        <f>0</f>
        <v>0</v>
      </c>
      <c r="F18" s="155">
        <f>0</f>
        <v>0</v>
      </c>
      <c r="G18" s="210">
        <f t="shared" si="1"/>
        <v>0</v>
      </c>
      <c r="H18" s="155">
        <f>0</f>
        <v>0</v>
      </c>
      <c r="I18" s="155">
        <f>0</f>
        <v>0</v>
      </c>
      <c r="J18" s="156"/>
      <c r="K18" s="156"/>
    </row>
    <row r="19" spans="1:12" ht="20.149999999999999" customHeight="1" thickTop="1" thickBot="1" x14ac:dyDescent="0.3">
      <c r="A19" s="152"/>
      <c r="B19" s="153"/>
      <c r="C19" s="154"/>
      <c r="D19" s="208">
        <f t="shared" si="0"/>
        <v>0</v>
      </c>
      <c r="E19" s="155">
        <f>0</f>
        <v>0</v>
      </c>
      <c r="F19" s="155">
        <f>0</f>
        <v>0</v>
      </c>
      <c r="G19" s="210">
        <f t="shared" si="1"/>
        <v>0</v>
      </c>
      <c r="H19" s="155">
        <f>0</f>
        <v>0</v>
      </c>
      <c r="I19" s="155">
        <f>0</f>
        <v>0</v>
      </c>
      <c r="J19" s="156"/>
      <c r="K19" s="156"/>
    </row>
    <row r="20" spans="1:12" ht="20.149999999999999" customHeight="1" thickTop="1" thickBot="1" x14ac:dyDescent="0.3">
      <c r="A20" s="152"/>
      <c r="B20" s="153"/>
      <c r="C20" s="154"/>
      <c r="D20" s="208">
        <f t="shared" si="0"/>
        <v>0</v>
      </c>
      <c r="E20" s="155">
        <f>0</f>
        <v>0</v>
      </c>
      <c r="F20" s="155">
        <f>0</f>
        <v>0</v>
      </c>
      <c r="G20" s="210">
        <f t="shared" si="1"/>
        <v>0</v>
      </c>
      <c r="H20" s="155">
        <f>0</f>
        <v>0</v>
      </c>
      <c r="I20" s="155">
        <f>0</f>
        <v>0</v>
      </c>
      <c r="J20" s="156"/>
      <c r="K20" s="156"/>
    </row>
    <row r="21" spans="1:12" ht="20.149999999999999" customHeight="1" thickTop="1" thickBot="1" x14ac:dyDescent="0.3">
      <c r="A21" s="152"/>
      <c r="B21" s="153"/>
      <c r="C21" s="154"/>
      <c r="D21" s="208">
        <f t="shared" si="0"/>
        <v>0</v>
      </c>
      <c r="E21" s="155">
        <f>0</f>
        <v>0</v>
      </c>
      <c r="F21" s="155">
        <f>0</f>
        <v>0</v>
      </c>
      <c r="G21" s="210">
        <f t="shared" si="1"/>
        <v>0</v>
      </c>
      <c r="H21" s="155">
        <f>0</f>
        <v>0</v>
      </c>
      <c r="I21" s="155">
        <f>0</f>
        <v>0</v>
      </c>
      <c r="J21" s="156"/>
      <c r="K21" s="156"/>
    </row>
    <row r="22" spans="1:12" ht="20.149999999999999" customHeight="1" thickTop="1" thickBot="1" x14ac:dyDescent="0.3">
      <c r="A22" s="152"/>
      <c r="B22" s="153"/>
      <c r="C22" s="154"/>
      <c r="D22" s="208">
        <f t="shared" si="0"/>
        <v>0</v>
      </c>
      <c r="E22" s="155">
        <f>0</f>
        <v>0</v>
      </c>
      <c r="F22" s="155">
        <f>0</f>
        <v>0</v>
      </c>
      <c r="G22" s="210">
        <f t="shared" si="1"/>
        <v>0</v>
      </c>
      <c r="H22" s="155">
        <f>0</f>
        <v>0</v>
      </c>
      <c r="I22" s="155">
        <f>0</f>
        <v>0</v>
      </c>
      <c r="J22" s="156"/>
      <c r="K22" s="156"/>
    </row>
    <row r="23" spans="1:12" ht="20.149999999999999" customHeight="1" thickTop="1" x14ac:dyDescent="0.25">
      <c r="A23" s="152"/>
      <c r="B23" s="153"/>
      <c r="C23" s="154"/>
      <c r="D23" s="209">
        <f t="shared" si="0"/>
        <v>0</v>
      </c>
      <c r="E23" s="155">
        <f>0</f>
        <v>0</v>
      </c>
      <c r="F23" s="155">
        <f>0</f>
        <v>0</v>
      </c>
      <c r="G23" s="211">
        <f t="shared" si="1"/>
        <v>0</v>
      </c>
      <c r="H23" s="155">
        <f>0</f>
        <v>0</v>
      </c>
      <c r="I23" s="155">
        <f>0</f>
        <v>0</v>
      </c>
      <c r="J23" s="156"/>
      <c r="K23" s="156"/>
    </row>
    <row r="24" spans="1:12" ht="20.149999999999999" customHeight="1" x14ac:dyDescent="0.25">
      <c r="A24" s="274"/>
      <c r="B24" s="275"/>
      <c r="C24" s="275"/>
      <c r="D24" s="275"/>
      <c r="E24" s="275"/>
      <c r="F24" s="275"/>
      <c r="G24" s="275"/>
      <c r="H24" s="275"/>
      <c r="I24" s="275"/>
      <c r="J24" s="275"/>
      <c r="K24" s="275"/>
    </row>
    <row r="25" spans="1:12" ht="41.15" customHeight="1" x14ac:dyDescent="0.25">
      <c r="A25" s="157"/>
      <c r="B25" s="158" t="s">
        <v>167</v>
      </c>
      <c r="C25" s="158"/>
      <c r="D25" s="70">
        <f t="shared" ref="D25:I25" si="2">SUM(D11:D23)</f>
        <v>2350000</v>
      </c>
      <c r="E25" s="42">
        <f t="shared" si="2"/>
        <v>50000</v>
      </c>
      <c r="F25" s="42">
        <f t="shared" si="2"/>
        <v>2300000</v>
      </c>
      <c r="G25" s="207">
        <f t="shared" si="2"/>
        <v>5072500</v>
      </c>
      <c r="H25" s="42">
        <f t="shared" si="2"/>
        <v>100000</v>
      </c>
      <c r="I25" s="42">
        <f t="shared" si="2"/>
        <v>4972500</v>
      </c>
      <c r="J25" s="276"/>
      <c r="K25" s="276"/>
    </row>
    <row r="26" spans="1:12" x14ac:dyDescent="0.25">
      <c r="A26" s="159"/>
    </row>
    <row r="27" spans="1:12" ht="18" x14ac:dyDescent="0.4">
      <c r="A27" s="160" t="s">
        <v>225</v>
      </c>
      <c r="B27" s="161"/>
      <c r="C27" s="161"/>
      <c r="D27" s="161"/>
      <c r="E27" s="161"/>
      <c r="F27" s="161"/>
      <c r="G27" s="161"/>
      <c r="H27" s="197"/>
      <c r="I27" s="162"/>
    </row>
    <row r="28" spans="1:12" ht="90.75" customHeight="1" thickBot="1" x14ac:dyDescent="0.3">
      <c r="A28" s="250" t="s">
        <v>251</v>
      </c>
      <c r="B28" s="251"/>
      <c r="C28" s="251"/>
      <c r="D28" s="251"/>
      <c r="E28" s="251"/>
      <c r="F28" s="251"/>
      <c r="G28" s="251"/>
      <c r="H28" s="251"/>
      <c r="I28" s="251"/>
      <c r="J28" s="251"/>
      <c r="K28" s="251"/>
    </row>
    <row r="29" spans="1:12" ht="16.5" customHeight="1" thickBot="1" x14ac:dyDescent="0.4">
      <c r="A29" s="186"/>
      <c r="B29" s="268" t="s">
        <v>168</v>
      </c>
      <c r="C29" s="269"/>
      <c r="D29" s="254" t="s">
        <v>139</v>
      </c>
      <c r="E29" s="255"/>
      <c r="F29" s="256"/>
      <c r="G29" s="254" t="s">
        <v>140</v>
      </c>
      <c r="H29" s="255"/>
      <c r="I29" s="256"/>
      <c r="J29" s="164"/>
      <c r="K29" s="260"/>
      <c r="L29" s="260"/>
    </row>
    <row r="30" spans="1:12" ht="51.75" customHeight="1" thickBot="1" x14ac:dyDescent="0.4">
      <c r="A30" s="186"/>
      <c r="B30" s="257" t="s">
        <v>0</v>
      </c>
      <c r="C30" s="258"/>
      <c r="D30" s="151" t="s">
        <v>119</v>
      </c>
      <c r="E30" s="151" t="s">
        <v>4</v>
      </c>
      <c r="F30" s="150" t="s">
        <v>118</v>
      </c>
      <c r="G30" s="151" t="s">
        <v>119</v>
      </c>
      <c r="H30" s="151" t="s">
        <v>4</v>
      </c>
      <c r="I30" s="150" t="s">
        <v>118</v>
      </c>
      <c r="J30" s="164"/>
      <c r="K30" s="164"/>
      <c r="L30" s="165"/>
    </row>
    <row r="31" spans="1:12" ht="20.149999999999999" customHeight="1" x14ac:dyDescent="0.25">
      <c r="A31" s="163"/>
      <c r="B31" s="271" t="s">
        <v>120</v>
      </c>
      <c r="C31" s="272"/>
      <c r="D31" s="204">
        <f t="shared" ref="D31:I31" si="3">+D25</f>
        <v>2350000</v>
      </c>
      <c r="E31" s="205">
        <f t="shared" si="3"/>
        <v>50000</v>
      </c>
      <c r="F31" s="205">
        <f t="shared" si="3"/>
        <v>2300000</v>
      </c>
      <c r="G31" s="206">
        <f t="shared" si="3"/>
        <v>5072500</v>
      </c>
      <c r="H31" s="205">
        <f t="shared" si="3"/>
        <v>100000</v>
      </c>
      <c r="I31" s="205">
        <f t="shared" si="3"/>
        <v>4972500</v>
      </c>
      <c r="J31" s="166"/>
      <c r="K31" s="166"/>
      <c r="L31" s="166"/>
    </row>
    <row r="32" spans="1:12" ht="20.149999999999999" customHeight="1" x14ac:dyDescent="0.25">
      <c r="A32" s="167">
        <v>3</v>
      </c>
      <c r="B32" s="252" t="s">
        <v>125</v>
      </c>
      <c r="C32" s="253"/>
      <c r="D32" s="168">
        <v>500000</v>
      </c>
      <c r="E32" s="169">
        <f>0</f>
        <v>0</v>
      </c>
      <c r="F32" s="169">
        <v>500000</v>
      </c>
      <c r="G32" s="170">
        <f>D32+2540000</f>
        <v>3040000</v>
      </c>
      <c r="H32" s="169">
        <f>0</f>
        <v>0</v>
      </c>
      <c r="I32" s="170">
        <f>F32+2540000</f>
        <v>3040000</v>
      </c>
      <c r="J32" s="171"/>
      <c r="K32" s="171"/>
      <c r="L32" s="171"/>
    </row>
    <row r="33" spans="1:12" ht="20.149999999999999" customHeight="1" x14ac:dyDescent="0.25">
      <c r="A33" s="167"/>
      <c r="B33" s="252" t="s">
        <v>131</v>
      </c>
      <c r="C33" s="253"/>
      <c r="D33" s="172">
        <v>6.0000000000000001E-3</v>
      </c>
      <c r="E33" s="173"/>
      <c r="F33" s="173">
        <v>6.0000000000000001E-3</v>
      </c>
      <c r="G33" s="174">
        <v>0.03</v>
      </c>
      <c r="H33" s="173"/>
      <c r="I33" s="173">
        <v>0.03</v>
      </c>
      <c r="J33" s="220"/>
      <c r="K33" s="175"/>
      <c r="L33" s="175"/>
    </row>
    <row r="34" spans="1:12" ht="20.149999999999999" customHeight="1" x14ac:dyDescent="0.25">
      <c r="A34" s="167">
        <v>3</v>
      </c>
      <c r="B34" s="176" t="s">
        <v>126</v>
      </c>
      <c r="C34" s="176"/>
      <c r="D34" s="168">
        <v>500000</v>
      </c>
      <c r="E34" s="169">
        <f>0</f>
        <v>0</v>
      </c>
      <c r="F34" s="169">
        <v>500000</v>
      </c>
      <c r="G34" s="170">
        <f>D34+1485000</f>
        <v>1985000</v>
      </c>
      <c r="H34" s="169">
        <f>0</f>
        <v>0</v>
      </c>
      <c r="I34" s="170">
        <f>F34+1485000</f>
        <v>1985000</v>
      </c>
      <c r="J34" s="171"/>
      <c r="K34" s="171"/>
      <c r="L34" s="171"/>
    </row>
    <row r="35" spans="1:12" ht="20.149999999999999" customHeight="1" x14ac:dyDescent="0.25">
      <c r="A35" s="167"/>
      <c r="B35" s="176" t="s">
        <v>127</v>
      </c>
      <c r="C35" s="176"/>
      <c r="D35" s="172">
        <v>0.01</v>
      </c>
      <c r="E35" s="173"/>
      <c r="F35" s="173">
        <v>0.01</v>
      </c>
      <c r="G35" s="174">
        <v>0.03</v>
      </c>
      <c r="H35" s="173"/>
      <c r="I35" s="173">
        <v>0.03</v>
      </c>
      <c r="J35" s="175"/>
      <c r="K35" s="175"/>
      <c r="L35" s="175"/>
    </row>
    <row r="36" spans="1:12" ht="20.149999999999999" customHeight="1" x14ac:dyDescent="0.25">
      <c r="A36" s="167">
        <v>3</v>
      </c>
      <c r="B36" s="176" t="s">
        <v>128</v>
      </c>
      <c r="C36" s="176"/>
      <c r="D36" s="168">
        <f>SUM(E36:F36)</f>
        <v>0</v>
      </c>
      <c r="E36" s="169">
        <f>0</f>
        <v>0</v>
      </c>
      <c r="F36" s="169">
        <f>0</f>
        <v>0</v>
      </c>
      <c r="G36" s="170">
        <v>100000</v>
      </c>
      <c r="H36" s="169">
        <f>0</f>
        <v>0</v>
      </c>
      <c r="I36" s="169">
        <v>100000</v>
      </c>
      <c r="J36" s="171"/>
      <c r="K36" s="171"/>
      <c r="L36" s="171"/>
    </row>
    <row r="37" spans="1:12" ht="20.149999999999999" customHeight="1" x14ac:dyDescent="0.25">
      <c r="A37" s="167"/>
      <c r="B37" s="176" t="s">
        <v>129</v>
      </c>
      <c r="C37" s="176"/>
      <c r="D37" s="172">
        <f>+F37</f>
        <v>0</v>
      </c>
      <c r="E37" s="173"/>
      <c r="F37" s="173">
        <f>0</f>
        <v>0</v>
      </c>
      <c r="G37" s="174">
        <v>0.03</v>
      </c>
      <c r="H37" s="173"/>
      <c r="I37" s="173">
        <v>0.03</v>
      </c>
      <c r="J37" s="175"/>
      <c r="K37" s="175"/>
      <c r="L37" s="175"/>
    </row>
    <row r="38" spans="1:12" ht="20.149999999999999" customHeight="1" x14ac:dyDescent="0.25">
      <c r="A38" s="167">
        <v>3</v>
      </c>
      <c r="B38" s="253" t="s">
        <v>124</v>
      </c>
      <c r="C38" s="259"/>
      <c r="D38" s="168">
        <v>500000</v>
      </c>
      <c r="E38" s="169">
        <f>0</f>
        <v>0</v>
      </c>
      <c r="F38" s="169">
        <v>500000</v>
      </c>
      <c r="G38" s="170">
        <f>D38+700000</f>
        <v>1200000</v>
      </c>
      <c r="H38" s="169">
        <f>0</f>
        <v>0</v>
      </c>
      <c r="I38" s="170">
        <f>F38+700000</f>
        <v>1200000</v>
      </c>
      <c r="J38" s="171"/>
      <c r="K38" s="171"/>
      <c r="L38" s="171"/>
    </row>
    <row r="39" spans="1:12" ht="20.149999999999999" customHeight="1" x14ac:dyDescent="0.25">
      <c r="A39" s="167"/>
      <c r="B39" s="253" t="s">
        <v>130</v>
      </c>
      <c r="C39" s="259"/>
      <c r="D39" s="172">
        <v>0.02</v>
      </c>
      <c r="E39" s="173"/>
      <c r="F39" s="173">
        <v>0.02</v>
      </c>
      <c r="G39" s="174">
        <v>0.03</v>
      </c>
      <c r="H39" s="173"/>
      <c r="I39" s="173">
        <v>0.03</v>
      </c>
      <c r="J39" s="175"/>
      <c r="K39" s="175"/>
      <c r="L39" s="175"/>
    </row>
    <row r="40" spans="1:12" ht="20.149999999999999" customHeight="1" x14ac:dyDescent="0.25">
      <c r="A40" s="167"/>
      <c r="B40" s="253" t="s">
        <v>132</v>
      </c>
      <c r="C40" s="265"/>
      <c r="D40" s="168">
        <f t="shared" ref="D40:D47" si="4">SUM(E40:F40)</f>
        <v>0</v>
      </c>
      <c r="E40" s="169">
        <f>0</f>
        <v>0</v>
      </c>
      <c r="F40" s="169">
        <f>0</f>
        <v>0</v>
      </c>
      <c r="G40" s="170">
        <f t="shared" ref="G40:G47" si="5">SUM(H40:I40)</f>
        <v>0</v>
      </c>
      <c r="H40" s="169">
        <f>0</f>
        <v>0</v>
      </c>
      <c r="I40" s="169">
        <f>0</f>
        <v>0</v>
      </c>
    </row>
    <row r="41" spans="1:12" ht="20.149999999999999" customHeight="1" x14ac:dyDescent="0.25">
      <c r="A41" s="167">
        <v>6</v>
      </c>
      <c r="B41" s="262" t="s">
        <v>133</v>
      </c>
      <c r="C41" s="253"/>
      <c r="D41" s="168">
        <v>400000</v>
      </c>
      <c r="E41" s="169">
        <f>0</f>
        <v>0</v>
      </c>
      <c r="F41" s="169">
        <v>400000</v>
      </c>
      <c r="G41" s="170">
        <v>980000</v>
      </c>
      <c r="H41" s="169">
        <f>0</f>
        <v>0</v>
      </c>
      <c r="I41" s="169">
        <v>980000</v>
      </c>
      <c r="J41" s="177" t="s">
        <v>117</v>
      </c>
    </row>
    <row r="42" spans="1:12" ht="20.149999999999999" customHeight="1" x14ac:dyDescent="0.25">
      <c r="A42" s="167">
        <v>1</v>
      </c>
      <c r="B42" s="178" t="s">
        <v>154</v>
      </c>
      <c r="C42" s="179"/>
      <c r="D42" s="168">
        <v>1250000</v>
      </c>
      <c r="E42" s="169">
        <f>0</f>
        <v>0</v>
      </c>
      <c r="F42" s="169">
        <v>1250000</v>
      </c>
      <c r="G42" s="170">
        <f>D42+1500000</f>
        <v>2750000</v>
      </c>
      <c r="H42" s="169">
        <f>0</f>
        <v>0</v>
      </c>
      <c r="I42" s="170">
        <f>F42+1500000</f>
        <v>2750000</v>
      </c>
    </row>
    <row r="43" spans="1:12" ht="20.149999999999999" customHeight="1" x14ac:dyDescent="0.25">
      <c r="A43" s="167">
        <v>1</v>
      </c>
      <c r="B43" s="178" t="s">
        <v>155</v>
      </c>
      <c r="C43" s="179"/>
      <c r="D43" s="168">
        <v>300000</v>
      </c>
      <c r="E43" s="169">
        <f>0</f>
        <v>0</v>
      </c>
      <c r="F43" s="169">
        <v>300000</v>
      </c>
      <c r="G43" s="170">
        <f>D43+200000</f>
        <v>500000</v>
      </c>
      <c r="H43" s="169">
        <f>0</f>
        <v>0</v>
      </c>
      <c r="I43" s="170">
        <f>F43+200000</f>
        <v>500000</v>
      </c>
    </row>
    <row r="44" spans="1:12" ht="20.149999999999999" customHeight="1" x14ac:dyDescent="0.25">
      <c r="A44" s="167"/>
      <c r="B44" s="262" t="s">
        <v>156</v>
      </c>
      <c r="C44" s="253"/>
      <c r="D44" s="168">
        <f t="shared" si="4"/>
        <v>0</v>
      </c>
      <c r="E44" s="169">
        <f>0</f>
        <v>0</v>
      </c>
      <c r="F44" s="169">
        <f>0</f>
        <v>0</v>
      </c>
      <c r="G44" s="170">
        <f t="shared" si="5"/>
        <v>0</v>
      </c>
      <c r="H44" s="169">
        <f>0</f>
        <v>0</v>
      </c>
      <c r="I44" s="169">
        <f>0</f>
        <v>0</v>
      </c>
    </row>
    <row r="45" spans="1:12" ht="20.149999999999999" customHeight="1" x14ac:dyDescent="0.25">
      <c r="A45" s="167">
        <v>7</v>
      </c>
      <c r="B45" s="253" t="s">
        <v>157</v>
      </c>
      <c r="C45" s="265"/>
      <c r="D45" s="168">
        <f>1100000+1376500+64100+150000</f>
        <v>2690600</v>
      </c>
      <c r="E45" s="169">
        <v>150000</v>
      </c>
      <c r="F45" s="169">
        <f>D45-E45</f>
        <v>2540600</v>
      </c>
      <c r="G45" s="170">
        <f>D45+1100000+50000</f>
        <v>3840600</v>
      </c>
      <c r="H45" s="169">
        <f>150000+50000</f>
        <v>200000</v>
      </c>
      <c r="I45" s="169">
        <f>G45-H45</f>
        <v>3640600</v>
      </c>
    </row>
    <row r="46" spans="1:12" ht="20.149999999999999" customHeight="1" x14ac:dyDescent="0.25">
      <c r="A46" s="167"/>
      <c r="B46" s="262" t="s">
        <v>158</v>
      </c>
      <c r="C46" s="253"/>
      <c r="D46" s="168">
        <v>0</v>
      </c>
      <c r="E46" s="169">
        <f>0</f>
        <v>0</v>
      </c>
      <c r="F46" s="169">
        <v>0</v>
      </c>
      <c r="G46" s="170">
        <v>0</v>
      </c>
      <c r="H46" s="169">
        <f>0</f>
        <v>0</v>
      </c>
      <c r="I46" s="169">
        <v>0</v>
      </c>
    </row>
    <row r="47" spans="1:12" ht="20.149999999999999" customHeight="1" x14ac:dyDescent="0.25">
      <c r="A47" s="167"/>
      <c r="B47" s="262" t="s">
        <v>159</v>
      </c>
      <c r="C47" s="253"/>
      <c r="D47" s="168">
        <f t="shared" si="4"/>
        <v>0</v>
      </c>
      <c r="E47" s="169">
        <f>0</f>
        <v>0</v>
      </c>
      <c r="F47" s="169">
        <f>0</f>
        <v>0</v>
      </c>
      <c r="G47" s="170">
        <f t="shared" si="5"/>
        <v>0</v>
      </c>
      <c r="H47" s="169">
        <f>0</f>
        <v>0</v>
      </c>
      <c r="I47" s="169">
        <f>0</f>
        <v>0</v>
      </c>
    </row>
    <row r="48" spans="1:12" ht="20.149999999999999" customHeight="1" x14ac:dyDescent="0.25">
      <c r="A48" s="180"/>
      <c r="B48" s="263" t="s">
        <v>2</v>
      </c>
      <c r="C48" s="264"/>
      <c r="D48" s="201">
        <f>SUM(D41:D47,D31,D32,D34,D36,D38,D40)</f>
        <v>8490600</v>
      </c>
      <c r="E48" s="201">
        <f>SUM(E41:E47,E31,E32,E34,E36,E38,E40)</f>
        <v>200000</v>
      </c>
      <c r="F48" s="201">
        <f>SUM(F41:F47,F31,F32,F34,F36,F38,F40)</f>
        <v>8290600</v>
      </c>
      <c r="G48" s="202">
        <f>SUM(G40:G47,G31,G32,G34,G36,G38)</f>
        <v>19468100</v>
      </c>
      <c r="H48" s="203">
        <f>SUM(H40:H47,H31,H32,H34,H36,H38)</f>
        <v>300000</v>
      </c>
      <c r="I48" s="201">
        <f>SUM(I41:I47,I31,I32,I34,I36,I38,I40)</f>
        <v>19168100</v>
      </c>
    </row>
    <row r="49" spans="2:11" x14ac:dyDescent="0.25">
      <c r="B49" s="181" t="s">
        <v>1</v>
      </c>
      <c r="C49" s="182"/>
      <c r="D49" s="182"/>
      <c r="E49" s="182"/>
      <c r="F49" s="182"/>
      <c r="G49" s="214"/>
      <c r="J49" s="214"/>
    </row>
    <row r="50" spans="2:11" ht="13" x14ac:dyDescent="0.3">
      <c r="B50" s="273" t="s">
        <v>121</v>
      </c>
      <c r="C50" s="273"/>
      <c r="D50" s="273"/>
      <c r="E50" s="273"/>
      <c r="F50" s="273"/>
      <c r="G50" s="273"/>
      <c r="H50" s="273"/>
      <c r="I50" s="273"/>
    </row>
    <row r="51" spans="2:11" ht="13" x14ac:dyDescent="0.3">
      <c r="B51" s="273" t="s">
        <v>11</v>
      </c>
      <c r="C51" s="273"/>
      <c r="D51" s="273"/>
      <c r="E51" s="273"/>
      <c r="F51" s="273"/>
      <c r="G51" s="273"/>
      <c r="H51" s="273"/>
      <c r="I51" s="273"/>
    </row>
    <row r="52" spans="2:11" ht="13" x14ac:dyDescent="0.3">
      <c r="B52" s="198" t="s">
        <v>262</v>
      </c>
      <c r="C52" s="198"/>
      <c r="D52" s="198"/>
      <c r="E52" s="198"/>
      <c r="F52" s="198"/>
      <c r="G52" s="198"/>
      <c r="H52" s="198"/>
      <c r="I52" s="198"/>
    </row>
    <row r="53" spans="2:11" x14ac:dyDescent="0.25">
      <c r="B53" s="183"/>
      <c r="C53" s="183"/>
      <c r="D53" s="215"/>
      <c r="E53" s="183"/>
      <c r="F53" s="183"/>
      <c r="G53" s="215"/>
      <c r="H53" s="183"/>
      <c r="I53" s="183"/>
    </row>
    <row r="54" spans="2:11" ht="15.5" x14ac:dyDescent="0.35">
      <c r="B54" s="183"/>
      <c r="C54" s="183"/>
      <c r="D54" s="216"/>
      <c r="E54" s="183"/>
      <c r="F54" s="183"/>
      <c r="G54" s="183"/>
      <c r="H54" s="194" t="s">
        <v>243</v>
      </c>
      <c r="I54" s="192"/>
    </row>
    <row r="55" spans="2:11" ht="15.5" x14ac:dyDescent="0.35">
      <c r="H55" s="266" t="s">
        <v>242</v>
      </c>
      <c r="I55" s="267"/>
      <c r="J55" s="270" t="s">
        <v>253</v>
      </c>
      <c r="K55" s="270"/>
    </row>
    <row r="56" spans="2:11" ht="15.5" x14ac:dyDescent="0.25">
      <c r="H56" s="193" t="s">
        <v>139</v>
      </c>
      <c r="I56" s="193" t="s">
        <v>140</v>
      </c>
      <c r="J56" s="195" t="s">
        <v>139</v>
      </c>
      <c r="K56" s="195" t="s">
        <v>140</v>
      </c>
    </row>
    <row r="57" spans="2:11" ht="15.5" x14ac:dyDescent="0.35">
      <c r="H57" s="199">
        <f>'2-Tuit &amp; Oth NGF Rev'!D22-'2-Tuit &amp; Oth NGF Rev'!C22-'3-Academic-Financial'!F48</f>
        <v>0</v>
      </c>
      <c r="I57" s="199">
        <f>'2-Tuit &amp; Oth NGF Rev'!E22-'2-Tuit &amp; Oth NGF Rev'!C22-'3-Academic-Financial'!I48</f>
        <v>0</v>
      </c>
      <c r="J57" s="196"/>
      <c r="K57" s="196"/>
    </row>
    <row r="59" spans="2:11" x14ac:dyDescent="0.25">
      <c r="B59" s="261"/>
      <c r="C59" s="261"/>
      <c r="D59" s="261"/>
      <c r="E59" s="261"/>
      <c r="F59" s="261"/>
    </row>
    <row r="62" spans="2:11" x14ac:dyDescent="0.25">
      <c r="H62" s="214"/>
    </row>
  </sheetData>
  <sheetProtection insertRows="0" selectLockedCells="1" selectUnlockedCells="1"/>
  <mergeCells count="37">
    <mergeCell ref="A24:K24"/>
    <mergeCell ref="J25:K25"/>
    <mergeCell ref="A4:K5"/>
    <mergeCell ref="A2:I2"/>
    <mergeCell ref="A6:A10"/>
    <mergeCell ref="B6:K6"/>
    <mergeCell ref="B8:B10"/>
    <mergeCell ref="D9:F9"/>
    <mergeCell ref="G9:I9"/>
    <mergeCell ref="D7:I7"/>
    <mergeCell ref="K8:K10"/>
    <mergeCell ref="J8:J10"/>
    <mergeCell ref="D8:I8"/>
    <mergeCell ref="C8:C10"/>
    <mergeCell ref="H55:I55"/>
    <mergeCell ref="D29:F29"/>
    <mergeCell ref="B29:C29"/>
    <mergeCell ref="J55:K55"/>
    <mergeCell ref="B31:C31"/>
    <mergeCell ref="B51:I51"/>
    <mergeCell ref="B50:I50"/>
    <mergeCell ref="B47:C47"/>
    <mergeCell ref="B39:C39"/>
    <mergeCell ref="B41:C41"/>
    <mergeCell ref="B40:C40"/>
    <mergeCell ref="B59:F59"/>
    <mergeCell ref="B44:C44"/>
    <mergeCell ref="B48:C48"/>
    <mergeCell ref="B46:C46"/>
    <mergeCell ref="B45:C45"/>
    <mergeCell ref="A28:K28"/>
    <mergeCell ref="B33:C33"/>
    <mergeCell ref="G29:I29"/>
    <mergeCell ref="B30:C30"/>
    <mergeCell ref="B38:C38"/>
    <mergeCell ref="B32:C32"/>
    <mergeCell ref="K29:L29"/>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47 G44 D36:D37 G40 G16:G2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80" zoomScaleNormal="80" workbookViewId="0">
      <selection activeCell="B1" sqref="B1"/>
    </sheetView>
  </sheetViews>
  <sheetFormatPr defaultColWidth="9.1796875" defaultRowHeight="12.5" x14ac:dyDescent="0.25"/>
  <cols>
    <col min="1" max="1" width="9.1796875" style="8"/>
    <col min="2" max="2" width="50.5429687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41.81640625" style="8" customWidth="1"/>
    <col min="9" max="16384" width="9.1796875" style="8"/>
  </cols>
  <sheetData>
    <row r="1" spans="1:8" ht="20.149999999999999" customHeight="1" x14ac:dyDescent="0.25">
      <c r="A1" s="83" t="s">
        <v>226</v>
      </c>
      <c r="B1" s="83"/>
      <c r="C1" s="83"/>
      <c r="D1" s="83"/>
      <c r="E1" s="83"/>
      <c r="F1" s="83"/>
      <c r="G1" s="83"/>
    </row>
    <row r="2" spans="1:8" ht="20.149999999999999" customHeight="1" x14ac:dyDescent="0.25">
      <c r="A2" s="308" t="str">
        <f>'Institution ID'!C3</f>
        <v>William &amp; Mary</v>
      </c>
      <c r="B2" s="308"/>
      <c r="C2" s="308"/>
      <c r="D2" s="308"/>
      <c r="E2" s="308"/>
      <c r="F2" s="308"/>
      <c r="G2" s="308"/>
    </row>
    <row r="3" spans="1:8" s="7" customFormat="1" ht="30" customHeight="1" x14ac:dyDescent="0.25">
      <c r="A3" s="316" t="s">
        <v>259</v>
      </c>
      <c r="B3" s="316"/>
      <c r="C3" s="316"/>
      <c r="D3" s="316"/>
      <c r="E3" s="316"/>
      <c r="F3" s="316"/>
      <c r="G3" s="316"/>
      <c r="H3" s="316"/>
    </row>
    <row r="4" spans="1:8" s="7" customFormat="1" ht="60.65" customHeight="1" thickBot="1" x14ac:dyDescent="0.3">
      <c r="A4" s="317"/>
      <c r="B4" s="317"/>
      <c r="C4" s="317"/>
      <c r="D4" s="317"/>
      <c r="E4" s="317"/>
      <c r="F4" s="317"/>
      <c r="G4" s="317"/>
      <c r="H4" s="317"/>
    </row>
    <row r="5" spans="1:8" s="3" customFormat="1" ht="20.149999999999999" customHeight="1" thickBot="1" x14ac:dyDescent="0.4">
      <c r="A5" s="309" t="s">
        <v>25</v>
      </c>
      <c r="B5" s="303" t="s">
        <v>135</v>
      </c>
      <c r="C5" s="304"/>
      <c r="D5" s="304"/>
      <c r="E5" s="304"/>
      <c r="F5" s="304"/>
      <c r="G5" s="304"/>
      <c r="H5" s="305" t="s">
        <v>136</v>
      </c>
    </row>
    <row r="6" spans="1:8" s="3" customFormat="1" ht="20.149999999999999" customHeight="1" thickBot="1" x14ac:dyDescent="0.4">
      <c r="A6" s="310"/>
      <c r="B6" s="68"/>
      <c r="C6" s="71"/>
      <c r="D6" s="303" t="s">
        <v>141</v>
      </c>
      <c r="E6" s="304"/>
      <c r="F6" s="304"/>
      <c r="G6" s="304"/>
      <c r="H6" s="306"/>
    </row>
    <row r="7" spans="1:8" s="3" customFormat="1" ht="20.149999999999999" customHeight="1" thickBot="1" x14ac:dyDescent="0.4">
      <c r="A7" s="310"/>
      <c r="B7" s="305" t="s">
        <v>169</v>
      </c>
      <c r="C7" s="313" t="s">
        <v>122</v>
      </c>
      <c r="D7" s="304"/>
      <c r="E7" s="304"/>
      <c r="F7" s="304"/>
      <c r="G7" s="304"/>
      <c r="H7" s="306"/>
    </row>
    <row r="8" spans="1:8" s="3" customFormat="1" ht="20.149999999999999" customHeight="1" thickBot="1" x14ac:dyDescent="0.4">
      <c r="A8" s="310"/>
      <c r="B8" s="306"/>
      <c r="C8" s="314"/>
      <c r="D8" s="303" t="s">
        <v>139</v>
      </c>
      <c r="E8" s="304"/>
      <c r="F8" s="307" t="s">
        <v>140</v>
      </c>
      <c r="G8" s="304"/>
      <c r="H8" s="306"/>
    </row>
    <row r="9" spans="1:8" s="3" customFormat="1" ht="42" customHeight="1" thickBot="1" x14ac:dyDescent="0.4">
      <c r="A9" s="311"/>
      <c r="B9" s="312"/>
      <c r="C9" s="315"/>
      <c r="D9" s="84" t="s">
        <v>119</v>
      </c>
      <c r="E9" s="85" t="s">
        <v>134</v>
      </c>
      <c r="F9" s="86" t="s">
        <v>119</v>
      </c>
      <c r="G9" s="85" t="s">
        <v>134</v>
      </c>
      <c r="H9" s="306"/>
    </row>
    <row r="10" spans="1:8" ht="81.75" customHeight="1" thickTop="1" thickBot="1" x14ac:dyDescent="0.3">
      <c r="A10" s="66">
        <v>1</v>
      </c>
      <c r="B10" s="67" t="s">
        <v>284</v>
      </c>
      <c r="C10" s="69">
        <v>2</v>
      </c>
      <c r="D10" s="65">
        <v>1376500</v>
      </c>
      <c r="E10" s="65">
        <v>1376500</v>
      </c>
      <c r="F10" s="65">
        <v>1376500</v>
      </c>
      <c r="G10" s="65">
        <v>1376500</v>
      </c>
      <c r="H10" s="221" t="s">
        <v>285</v>
      </c>
    </row>
    <row r="11" spans="1:8" ht="63.5" thickTop="1" thickBot="1" x14ac:dyDescent="0.3">
      <c r="A11" s="66">
        <v>2</v>
      </c>
      <c r="B11" s="67" t="s">
        <v>272</v>
      </c>
      <c r="C11" s="69">
        <v>2</v>
      </c>
      <c r="D11" s="65">
        <v>1200000</v>
      </c>
      <c r="E11" s="65">
        <v>1200000</v>
      </c>
      <c r="F11" s="65">
        <v>2400000</v>
      </c>
      <c r="G11" s="65">
        <v>2400000</v>
      </c>
      <c r="H11" s="218" t="s">
        <v>281</v>
      </c>
    </row>
    <row r="12" spans="1:8" ht="19" thickTop="1" thickBot="1" x14ac:dyDescent="0.3">
      <c r="A12" s="66">
        <v>3</v>
      </c>
      <c r="B12" s="67" t="s">
        <v>273</v>
      </c>
      <c r="C12" s="69">
        <v>3</v>
      </c>
      <c r="D12" s="65">
        <v>400000</v>
      </c>
      <c r="E12" s="65">
        <v>400000</v>
      </c>
      <c r="F12" s="65">
        <v>400000</v>
      </c>
      <c r="G12" s="65">
        <v>400000</v>
      </c>
      <c r="H12" s="217" t="s">
        <v>282</v>
      </c>
    </row>
    <row r="13" spans="1:8" ht="29" thickTop="1" thickBot="1" x14ac:dyDescent="0.3">
      <c r="A13" s="66">
        <v>4</v>
      </c>
      <c r="B13" s="67" t="s">
        <v>271</v>
      </c>
      <c r="C13" s="69">
        <v>1</v>
      </c>
      <c r="D13" s="65">
        <v>4000000</v>
      </c>
      <c r="E13" s="65">
        <v>4000000</v>
      </c>
      <c r="F13" s="65">
        <v>500000</v>
      </c>
      <c r="G13" s="65">
        <v>500000</v>
      </c>
      <c r="H13" s="73" t="s">
        <v>282</v>
      </c>
    </row>
    <row r="14" spans="1:8" ht="50.5" thickTop="1" x14ac:dyDescent="0.25">
      <c r="A14" s="66">
        <v>5</v>
      </c>
      <c r="B14" s="67" t="s">
        <v>133</v>
      </c>
      <c r="C14" s="69">
        <v>2</v>
      </c>
      <c r="D14" s="65">
        <f>'3-Academic-Financial'!D41</f>
        <v>400000</v>
      </c>
      <c r="E14" s="65">
        <v>160000</v>
      </c>
      <c r="F14" s="65">
        <f>'3-Academic-Financial'!G41</f>
        <v>980000</v>
      </c>
      <c r="G14" s="65">
        <v>385000</v>
      </c>
      <c r="H14" s="218" t="s">
        <v>283</v>
      </c>
    </row>
    <row r="15" spans="1:8" s="72" customFormat="1" ht="15.5" x14ac:dyDescent="0.25">
      <c r="A15" s="42"/>
      <c r="B15" s="42"/>
      <c r="C15" s="74"/>
      <c r="D15" s="70">
        <f>SUM(D10:D14)</f>
        <v>7376500</v>
      </c>
      <c r="E15" s="70">
        <f>SUM(E10:E14)</f>
        <v>7136500</v>
      </c>
      <c r="F15" s="70">
        <f>SUM(F10:F14)</f>
        <v>5656500</v>
      </c>
      <c r="G15" s="70">
        <f>SUM(G10:G14)</f>
        <v>5061500</v>
      </c>
      <c r="H15" s="42"/>
    </row>
    <row r="16" spans="1:8" x14ac:dyDescent="0.25">
      <c r="B16" s="302"/>
      <c r="C16" s="302"/>
      <c r="D16" s="302"/>
      <c r="E16" s="302"/>
    </row>
  </sheetData>
  <mergeCells count="12">
    <mergeCell ref="B16:E16"/>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0" zoomScaleNormal="80" workbookViewId="0"/>
  </sheetViews>
  <sheetFormatPr defaultColWidth="9.1796875" defaultRowHeight="12.5" x14ac:dyDescent="0.25"/>
  <cols>
    <col min="1" max="1" width="31.1796875" style="16" customWidth="1"/>
    <col min="2" max="5" width="17.54296875" style="16" customWidth="1"/>
    <col min="6" max="8" width="15.54296875" style="16" customWidth="1"/>
    <col min="9" max="9" width="12.7265625" style="16" bestFit="1" customWidth="1"/>
    <col min="10" max="16384" width="9.1796875" style="16"/>
  </cols>
  <sheetData>
    <row r="1" spans="1:10" s="12" customFormat="1" ht="20.149999999999999" customHeight="1" x14ac:dyDescent="0.25">
      <c r="A1" s="82" t="s">
        <v>160</v>
      </c>
      <c r="B1" s="82"/>
      <c r="C1" s="82"/>
      <c r="D1" s="82"/>
      <c r="E1" s="82"/>
    </row>
    <row r="2" spans="1:10" s="12" customFormat="1" ht="20.149999999999999" customHeight="1" x14ac:dyDescent="0.25">
      <c r="A2" s="318" t="str">
        <f>'Institution ID'!C3</f>
        <v>William &amp; Mary</v>
      </c>
      <c r="B2" s="318"/>
      <c r="C2" s="318"/>
      <c r="D2" s="318"/>
      <c r="E2" s="318"/>
    </row>
    <row r="3" spans="1:10" s="10" customFormat="1" ht="70.5" customHeight="1" x14ac:dyDescent="0.25">
      <c r="A3" s="332" t="s">
        <v>170</v>
      </c>
      <c r="B3" s="333"/>
      <c r="C3" s="333"/>
      <c r="D3" s="333"/>
      <c r="E3" s="333"/>
      <c r="F3" s="333"/>
      <c r="G3" s="333"/>
      <c r="H3" s="333"/>
    </row>
    <row r="4" spans="1:10" s="10" customFormat="1" ht="41.5" customHeight="1" x14ac:dyDescent="0.25">
      <c r="A4" s="332" t="s">
        <v>232</v>
      </c>
      <c r="B4" s="333"/>
      <c r="C4" s="333"/>
      <c r="D4" s="333"/>
      <c r="E4" s="333"/>
      <c r="F4" s="333"/>
      <c r="G4" s="333"/>
      <c r="H4" s="333"/>
    </row>
    <row r="5" spans="1:10" s="17" customFormat="1" ht="38.15" customHeight="1" x14ac:dyDescent="0.25">
      <c r="A5" s="334" t="s">
        <v>114</v>
      </c>
      <c r="B5" s="335"/>
      <c r="C5" s="335"/>
      <c r="D5" s="335"/>
      <c r="E5" s="335"/>
      <c r="F5" s="335"/>
      <c r="G5" s="335"/>
      <c r="H5" s="335"/>
    </row>
    <row r="6" spans="1:10" s="17" customFormat="1" ht="20.149999999999999" customHeight="1" x14ac:dyDescent="0.4">
      <c r="A6" s="336" t="s">
        <v>21</v>
      </c>
      <c r="B6" s="337"/>
      <c r="C6" s="337"/>
      <c r="D6" s="337"/>
      <c r="E6" s="337"/>
      <c r="F6" s="337"/>
      <c r="G6" s="115"/>
      <c r="H6" s="115"/>
    </row>
    <row r="7" spans="1:10" s="17" customFormat="1" ht="15" customHeight="1" x14ac:dyDescent="0.25">
      <c r="A7" s="328" t="s">
        <v>231</v>
      </c>
      <c r="B7" s="328"/>
      <c r="C7" s="328"/>
      <c r="D7" s="328"/>
      <c r="E7" s="328"/>
      <c r="F7" s="328"/>
      <c r="G7" s="328"/>
      <c r="H7" s="328"/>
    </row>
    <row r="8" spans="1:10" s="17" customFormat="1" ht="15" customHeight="1" x14ac:dyDescent="0.25">
      <c r="A8" s="339" t="s">
        <v>22</v>
      </c>
      <c r="B8" s="338" t="s">
        <v>221</v>
      </c>
      <c r="C8" s="338" t="s">
        <v>161</v>
      </c>
      <c r="D8" s="341" t="s">
        <v>115</v>
      </c>
      <c r="E8" s="338" t="s">
        <v>23</v>
      </c>
      <c r="F8" s="338" t="s">
        <v>76</v>
      </c>
      <c r="G8" s="324" t="s">
        <v>227</v>
      </c>
      <c r="H8" s="329" t="s">
        <v>230</v>
      </c>
    </row>
    <row r="9" spans="1:10" s="17" customFormat="1" ht="16.399999999999999" customHeight="1" thickBot="1" x14ac:dyDescent="0.3">
      <c r="A9" s="339"/>
      <c r="B9" s="329"/>
      <c r="C9" s="329"/>
      <c r="D9" s="341"/>
      <c r="E9" s="329"/>
      <c r="F9" s="329"/>
      <c r="G9" s="325"/>
      <c r="H9" s="329"/>
    </row>
    <row r="10" spans="1:10" s="17" customFormat="1" ht="16.399999999999999" customHeight="1" x14ac:dyDescent="0.25">
      <c r="A10" s="339"/>
      <c r="B10" s="330"/>
      <c r="C10" s="330"/>
      <c r="D10" s="341"/>
      <c r="E10" s="330"/>
      <c r="F10" s="330"/>
      <c r="G10" s="326"/>
      <c r="H10" s="330"/>
      <c r="I10" s="319" t="s">
        <v>228</v>
      </c>
      <c r="J10" s="320"/>
    </row>
    <row r="11" spans="1:10" s="17" customFormat="1" ht="16.399999999999999" customHeight="1" thickBot="1" x14ac:dyDescent="0.3">
      <c r="A11" s="340"/>
      <c r="B11" s="331"/>
      <c r="C11" s="331"/>
      <c r="D11" s="342"/>
      <c r="E11" s="331"/>
      <c r="F11" s="331"/>
      <c r="G11" s="327"/>
      <c r="H11" s="331"/>
      <c r="I11" s="321" t="s">
        <v>229</v>
      </c>
      <c r="J11" s="322"/>
    </row>
    <row r="12" spans="1:10" s="17" customFormat="1" ht="16.399999999999999" customHeight="1" x14ac:dyDescent="0.35">
      <c r="A12" s="55" t="s">
        <v>98</v>
      </c>
      <c r="B12" s="60">
        <f>+'2-Tuit &amp; Oth NGF Rev'!B7</f>
        <v>72315913</v>
      </c>
      <c r="C12" s="56">
        <f>ROUND(SUM($E$12:$E$13)*(B12/SUM($B$12:$B$13)),-2)</f>
        <v>13555700</v>
      </c>
      <c r="D12" s="116">
        <f t="shared" ref="D12:D18" si="0">IF(C12=0,"%",C12/B12)</f>
        <v>0.18745113540915953</v>
      </c>
      <c r="E12" s="56">
        <v>23093244.699999999</v>
      </c>
      <c r="F12" s="56">
        <v>366809</v>
      </c>
      <c r="G12" s="122">
        <f>863719+76839+28045</f>
        <v>968603</v>
      </c>
      <c r="H12" s="124">
        <f t="shared" ref="H12:H17" si="1">B12+F12+G12</f>
        <v>73651325</v>
      </c>
      <c r="I12" s="117">
        <f>(C12+C14+C16)-(E12+E14+E16)</f>
        <v>-8401067.4100000001</v>
      </c>
      <c r="J12" s="118" t="str">
        <f>IF(I12&gt;0,"WARNING: IS subsidizing OS","Compliant")</f>
        <v>Compliant</v>
      </c>
    </row>
    <row r="13" spans="1:10" s="17" customFormat="1" ht="15" customHeight="1" x14ac:dyDescent="0.35">
      <c r="A13" s="57" t="s">
        <v>99</v>
      </c>
      <c r="B13" s="61">
        <f>+'2-Tuit &amp; Oth NGF Rev'!B8</f>
        <v>82679034</v>
      </c>
      <c r="C13" s="56">
        <f>ROUND(SUM($E$12:$E$13)*(B13/SUM($B$12:$B$13)),-2)</f>
        <v>15498300</v>
      </c>
      <c r="D13" s="116">
        <f t="shared" si="0"/>
        <v>0.18745139184862755</v>
      </c>
      <c r="E13" s="56">
        <v>5960693.8200000003</v>
      </c>
      <c r="F13" s="56">
        <v>83191</v>
      </c>
      <c r="G13" s="122">
        <f>20448+42460.5</f>
        <v>62908.5</v>
      </c>
      <c r="H13" s="125">
        <f t="shared" si="1"/>
        <v>82825133.5</v>
      </c>
    </row>
    <row r="14" spans="1:10" s="17" customFormat="1" ht="15" customHeight="1" x14ac:dyDescent="0.35">
      <c r="A14" s="57" t="s">
        <v>100</v>
      </c>
      <c r="B14" s="61">
        <f>+'2-Tuit &amp; Oth NGF Rev'!B9</f>
        <v>17846558</v>
      </c>
      <c r="C14" s="56">
        <f>ROUND(SUM($E$14:$E$15)*(B14/SUM($B$14:$B$15)),-2)</f>
        <v>1921500</v>
      </c>
      <c r="D14" s="116">
        <f t="shared" si="0"/>
        <v>0.10766782031582785</v>
      </c>
      <c r="E14" s="56">
        <v>1304588.71</v>
      </c>
      <c r="F14" s="56">
        <v>246784.83</v>
      </c>
      <c r="G14" s="122">
        <f>532350+6435+377852</f>
        <v>916637</v>
      </c>
      <c r="H14" s="125">
        <f t="shared" si="1"/>
        <v>19009979.829999998</v>
      </c>
    </row>
    <row r="15" spans="1:10" s="17" customFormat="1" ht="15" customHeight="1" x14ac:dyDescent="0.35">
      <c r="A15" s="57" t="s">
        <v>101</v>
      </c>
      <c r="B15" s="61">
        <f>+'2-Tuit &amp; Oth NGF Rev'!B10</f>
        <v>17355763</v>
      </c>
      <c r="C15" s="56">
        <f>ROUND(SUM($E$14:$E$15)*(B15/SUM($B$14:$B$15)),-2)</f>
        <v>1868600</v>
      </c>
      <c r="D15" s="116">
        <f t="shared" si="0"/>
        <v>0.10766452618648918</v>
      </c>
      <c r="E15" s="56">
        <v>2485544</v>
      </c>
      <c r="F15" s="56">
        <v>1550623</v>
      </c>
      <c r="G15" s="122">
        <f>63765+130620</f>
        <v>194385</v>
      </c>
      <c r="H15" s="125">
        <f t="shared" si="1"/>
        <v>19100771</v>
      </c>
    </row>
    <row r="16" spans="1:10" s="17" customFormat="1" ht="15" customHeight="1" x14ac:dyDescent="0.35">
      <c r="A16" s="57" t="s">
        <v>112</v>
      </c>
      <c r="B16" s="61">
        <f>+SUM('2-Tuit &amp; Oth NGF Rev'!B11+'2-Tuit &amp; Oth NGF Rev'!B13+'2-Tuit &amp; Oth NGF Rev'!B15+'2-Tuit &amp; Oth NGF Rev'!B17+'2-Tuit &amp; Oth NGF Rev'!B19)</f>
        <v>5563100</v>
      </c>
      <c r="C16" s="56">
        <f>ROUND(SUM($E$16:$E$17)*(B16/SUM($B$16:$B$17)),-2)</f>
        <v>2959500</v>
      </c>
      <c r="D16" s="116">
        <f t="shared" si="0"/>
        <v>0.53198756089230825</v>
      </c>
      <c r="E16" s="56">
        <v>2439934</v>
      </c>
      <c r="F16" s="56">
        <f>0</f>
        <v>0</v>
      </c>
      <c r="G16" s="122">
        <v>2541</v>
      </c>
      <c r="H16" s="125">
        <f t="shared" si="1"/>
        <v>5565641</v>
      </c>
    </row>
    <row r="17" spans="1:14" s="17" customFormat="1" ht="15" customHeight="1" thickBot="1" x14ac:dyDescent="0.4">
      <c r="A17" s="58" t="s">
        <v>113</v>
      </c>
      <c r="B17" s="61">
        <f>+SUM('2-Tuit &amp; Oth NGF Rev'!B12+'2-Tuit &amp; Oth NGF Rev'!B14+'2-Tuit &amp; Oth NGF Rev'!B16+'2-Tuit &amp; Oth NGF Rev'!B18+'2-Tuit &amp; Oth NGF Rev'!B20)</f>
        <v>18490865</v>
      </c>
      <c r="C17" s="56">
        <f>ROUND(SUM($E$16:$E$17)*(B17/SUM($B$16:$B$17)),-2)</f>
        <v>9837000</v>
      </c>
      <c r="D17" s="119">
        <f t="shared" si="0"/>
        <v>0.53199241895930771</v>
      </c>
      <c r="E17" s="56">
        <v>10356533</v>
      </c>
      <c r="F17" s="56">
        <f>0</f>
        <v>0</v>
      </c>
      <c r="G17" s="122">
        <f>0</f>
        <v>0</v>
      </c>
      <c r="H17" s="126">
        <f t="shared" si="1"/>
        <v>18490865</v>
      </c>
    </row>
    <row r="18" spans="1:14" s="17" customFormat="1" ht="15" customHeight="1" thickBot="1" x14ac:dyDescent="0.4">
      <c r="A18" s="59" t="s">
        <v>16</v>
      </c>
      <c r="B18" s="62">
        <f>SUM(B12:B17)</f>
        <v>214251233</v>
      </c>
      <c r="C18" s="62">
        <f>SUM(C12:C17)</f>
        <v>45640600</v>
      </c>
      <c r="D18" s="120">
        <f t="shared" si="0"/>
        <v>0.21302374488551951</v>
      </c>
      <c r="E18" s="62">
        <f>SUM(E12:E17)</f>
        <v>45640538.230000004</v>
      </c>
      <c r="F18" s="62">
        <f>SUM(F12:F17)</f>
        <v>2247407.83</v>
      </c>
      <c r="G18" s="62">
        <f>SUM(G12:G17)</f>
        <v>2145074.5</v>
      </c>
      <c r="H18" s="123">
        <f>SUM(H12:H17)</f>
        <v>218643715.32999998</v>
      </c>
    </row>
    <row r="19" spans="1:14" s="17" customFormat="1" ht="15" customHeight="1" x14ac:dyDescent="0.25">
      <c r="A19" s="323"/>
      <c r="B19" s="323"/>
      <c r="C19" s="323"/>
      <c r="D19" s="323"/>
      <c r="E19" s="323"/>
    </row>
    <row r="20" spans="1:14" s="17" customFormat="1" ht="15" customHeight="1" x14ac:dyDescent="0.25">
      <c r="A20" s="328" t="s">
        <v>151</v>
      </c>
      <c r="B20" s="328"/>
      <c r="C20" s="328"/>
      <c r="D20" s="328"/>
      <c r="E20" s="328"/>
      <c r="F20" s="328"/>
      <c r="G20" s="328"/>
      <c r="H20" s="328"/>
    </row>
    <row r="21" spans="1:14" ht="15" customHeight="1" x14ac:dyDescent="0.25">
      <c r="A21" s="339" t="s">
        <v>22</v>
      </c>
      <c r="B21" s="338" t="s">
        <v>221</v>
      </c>
      <c r="C21" s="338" t="s">
        <v>161</v>
      </c>
      <c r="D21" s="341" t="s">
        <v>115</v>
      </c>
      <c r="E21" s="338" t="s">
        <v>23</v>
      </c>
      <c r="F21" s="338" t="s">
        <v>76</v>
      </c>
      <c r="G21" s="338" t="s">
        <v>227</v>
      </c>
      <c r="H21" s="329" t="s">
        <v>230</v>
      </c>
    </row>
    <row r="22" spans="1:14" s="17" customFormat="1" ht="15" customHeight="1" thickBot="1" x14ac:dyDescent="0.3">
      <c r="A22" s="339"/>
      <c r="B22" s="329"/>
      <c r="C22" s="329"/>
      <c r="D22" s="341"/>
      <c r="E22" s="329"/>
      <c r="F22" s="329"/>
      <c r="G22" s="329"/>
      <c r="H22" s="329"/>
    </row>
    <row r="23" spans="1:14" s="17" customFormat="1" ht="16.399999999999999" customHeight="1" x14ac:dyDescent="0.25">
      <c r="A23" s="339"/>
      <c r="B23" s="330"/>
      <c r="C23" s="330"/>
      <c r="D23" s="341"/>
      <c r="E23" s="330"/>
      <c r="F23" s="330"/>
      <c r="G23" s="330"/>
      <c r="H23" s="330"/>
      <c r="I23" s="343" t="s">
        <v>228</v>
      </c>
      <c r="J23" s="320"/>
    </row>
    <row r="24" spans="1:14" s="17" customFormat="1" ht="16.399999999999999" customHeight="1" thickBot="1" x14ac:dyDescent="0.3">
      <c r="A24" s="340"/>
      <c r="B24" s="331"/>
      <c r="C24" s="331"/>
      <c r="D24" s="342"/>
      <c r="E24" s="331"/>
      <c r="F24" s="331"/>
      <c r="G24" s="331"/>
      <c r="H24" s="331"/>
      <c r="I24" s="344" t="s">
        <v>229</v>
      </c>
      <c r="J24" s="322"/>
    </row>
    <row r="25" spans="1:14" s="17" customFormat="1" ht="16.399999999999999" customHeight="1" x14ac:dyDescent="0.35">
      <c r="A25" s="55" t="s">
        <v>98</v>
      </c>
      <c r="B25" s="60">
        <f>+'2-Tuit &amp; Oth NGF Rev'!C7</f>
        <v>75329400</v>
      </c>
      <c r="C25" s="56">
        <f>ROUND(SUM($E$25:$E$26)*(B25/SUM($B$25:$B$26)),-2)</f>
        <v>16520100</v>
      </c>
      <c r="D25" s="116">
        <f t="shared" ref="D25:D31" si="2">IF(C25=0,"%",C25/B25)</f>
        <v>0.21930481326016138</v>
      </c>
      <c r="E25" s="56">
        <f>ROUND(34450000*(E12/($E$12+$E$13)),-2)-191650</f>
        <v>27190650</v>
      </c>
      <c r="F25" s="213">
        <f>ROUND(1010000*(F12/($F$12+$F$13)),-2)</f>
        <v>823300</v>
      </c>
      <c r="G25" s="56">
        <f>G12</f>
        <v>968603</v>
      </c>
      <c r="H25" s="124">
        <f t="shared" ref="H25:H30" si="3">B25+F25+G25</f>
        <v>77121303</v>
      </c>
      <c r="I25" s="117">
        <f>(C25+C27+C29)-(E25+E27+E29)</f>
        <v>-10290950</v>
      </c>
      <c r="J25" s="118" t="str">
        <f>IF(I25&gt;0,"WARNING: IS subsidizing OS","Compliant")</f>
        <v>Compliant</v>
      </c>
    </row>
    <row r="26" spans="1:14" s="17" customFormat="1" ht="16.399999999999999" customHeight="1" x14ac:dyDescent="0.35">
      <c r="A26" s="57" t="s">
        <v>99</v>
      </c>
      <c r="B26" s="61">
        <f>+'2-Tuit &amp; Oth NGF Rev'!C8</f>
        <v>80884400</v>
      </c>
      <c r="C26" s="56">
        <f>ROUND(SUM($E$25:$E$26)*(B26/SUM($B$25:$B$26)),-2)</f>
        <v>17738300</v>
      </c>
      <c r="D26" s="116">
        <f t="shared" si="2"/>
        <v>0.21930434051560005</v>
      </c>
      <c r="E26" s="56">
        <f>ROUND(34450000*(E13/($E$12+$E$13)),-2)</f>
        <v>7067700</v>
      </c>
      <c r="F26" s="213">
        <f>ROUND(1010000*(F13/($F$12+$F$13)),-2)</f>
        <v>186700</v>
      </c>
      <c r="G26" s="56">
        <f t="shared" ref="G26:G30" si="4">G13</f>
        <v>62908.5</v>
      </c>
      <c r="H26" s="125">
        <f t="shared" si="3"/>
        <v>81134008.5</v>
      </c>
    </row>
    <row r="27" spans="1:14" s="17" customFormat="1" ht="15" customHeight="1" x14ac:dyDescent="0.35">
      <c r="A27" s="57" t="s">
        <v>100</v>
      </c>
      <c r="B27" s="61">
        <f>+'2-Tuit &amp; Oth NGF Rev'!C9</f>
        <v>17846600</v>
      </c>
      <c r="C27" s="56">
        <f>ROUND(SUM($E$27:$E$28)*(B27/SUM($B$27:$B$28)),-2)</f>
        <v>1835800</v>
      </c>
      <c r="D27" s="116">
        <f t="shared" si="2"/>
        <v>0.10286553180998061</v>
      </c>
      <c r="E27" s="56">
        <v>1336000</v>
      </c>
      <c r="F27" s="56">
        <f>0</f>
        <v>0</v>
      </c>
      <c r="G27" s="56">
        <f t="shared" si="4"/>
        <v>916637</v>
      </c>
      <c r="H27" s="125">
        <f t="shared" si="3"/>
        <v>18763237</v>
      </c>
      <c r="I27" s="121"/>
      <c r="N27" s="121"/>
    </row>
    <row r="28" spans="1:14" s="17" customFormat="1" ht="15" customHeight="1" x14ac:dyDescent="0.35">
      <c r="A28" s="57" t="s">
        <v>101</v>
      </c>
      <c r="B28" s="61">
        <f>+'2-Tuit &amp; Oth NGF Rev'!C10</f>
        <v>16847200</v>
      </c>
      <c r="C28" s="56">
        <f>ROUND(SUM($E$27:$E$28)*(B28/SUM($B$27:$B$28)),-2)</f>
        <v>1733000</v>
      </c>
      <c r="D28" s="116">
        <f t="shared" si="2"/>
        <v>0.10286575810817228</v>
      </c>
      <c r="E28" s="56">
        <v>2232750</v>
      </c>
      <c r="F28" s="56">
        <f>0</f>
        <v>0</v>
      </c>
      <c r="G28" s="56">
        <f t="shared" si="4"/>
        <v>194385</v>
      </c>
      <c r="H28" s="125">
        <f t="shared" si="3"/>
        <v>17041585</v>
      </c>
      <c r="I28" s="121"/>
    </row>
    <row r="29" spans="1:14" s="17" customFormat="1" ht="15" customHeight="1" x14ac:dyDescent="0.35">
      <c r="A29" s="57" t="s">
        <v>112</v>
      </c>
      <c r="B29" s="61">
        <f>+SUM('2-Tuit &amp; Oth NGF Rev'!C11+'2-Tuit &amp; Oth NGF Rev'!C13+'2-Tuit &amp; Oth NGF Rev'!C15+'2-Tuit &amp; Oth NGF Rev'!C17+'2-Tuit &amp; Oth NGF Rev'!C19)</f>
        <v>4787200</v>
      </c>
      <c r="C29" s="56">
        <f>ROUND(SUM($E$29:$E$30)*(B29/SUM($B$29:$B$30)),-2)</f>
        <v>2373900</v>
      </c>
      <c r="D29" s="116">
        <f t="shared" si="2"/>
        <v>0.49588485962566847</v>
      </c>
      <c r="E29" s="56">
        <v>2494100</v>
      </c>
      <c r="F29" s="56">
        <f>0</f>
        <v>0</v>
      </c>
      <c r="G29" s="56">
        <f t="shared" si="4"/>
        <v>2541</v>
      </c>
      <c r="H29" s="125">
        <f t="shared" si="3"/>
        <v>4789741</v>
      </c>
    </row>
    <row r="30" spans="1:14" s="17" customFormat="1" ht="15" customHeight="1" thickBot="1" x14ac:dyDescent="0.4">
      <c r="A30" s="58" t="s">
        <v>113</v>
      </c>
      <c r="B30" s="61">
        <f>+SUM('2-Tuit &amp; Oth NGF Rev'!C12+'2-Tuit &amp; Oth NGF Rev'!C14+'2-Tuit &amp; Oth NGF Rev'!C16+'2-Tuit &amp; Oth NGF Rev'!C18+'2-Tuit &amp; Oth NGF Rev'!C20)</f>
        <v>21417200</v>
      </c>
      <c r="C30" s="56">
        <f>ROUND(SUM($E$29:$E$30)*(B30/SUM($B$29:$B$30)),-2)</f>
        <v>10620600</v>
      </c>
      <c r="D30" s="119">
        <f t="shared" si="2"/>
        <v>0.49589115290514169</v>
      </c>
      <c r="E30" s="56">
        <v>10500400</v>
      </c>
      <c r="F30" s="56">
        <f>0</f>
        <v>0</v>
      </c>
      <c r="G30" s="56">
        <f t="shared" si="4"/>
        <v>0</v>
      </c>
      <c r="H30" s="126">
        <f t="shared" si="3"/>
        <v>21417200</v>
      </c>
    </row>
    <row r="31" spans="1:14" s="17" customFormat="1" ht="15" customHeight="1" thickBot="1" x14ac:dyDescent="0.4">
      <c r="A31" s="59" t="s">
        <v>16</v>
      </c>
      <c r="B31" s="64">
        <f>SUM(B25:B30)</f>
        <v>217112000</v>
      </c>
      <c r="C31" s="64">
        <f t="shared" ref="C31:H31" si="5">SUM(C25:C30)</f>
        <v>50821700</v>
      </c>
      <c r="D31" s="120">
        <f t="shared" si="2"/>
        <v>0.23408056671211172</v>
      </c>
      <c r="E31" s="64">
        <f t="shared" si="5"/>
        <v>50821600</v>
      </c>
      <c r="F31" s="62">
        <f t="shared" si="5"/>
        <v>1010000</v>
      </c>
      <c r="G31" s="62">
        <f t="shared" si="5"/>
        <v>2145074.5</v>
      </c>
      <c r="H31" s="123">
        <f t="shared" si="5"/>
        <v>220267074.5</v>
      </c>
    </row>
    <row r="32" spans="1:14" s="17" customFormat="1" ht="15" customHeight="1" x14ac:dyDescent="0.35">
      <c r="A32" s="345"/>
      <c r="B32" s="345"/>
      <c r="C32" s="345"/>
      <c r="D32" s="345"/>
      <c r="E32" s="345"/>
    </row>
    <row r="33" spans="1:10" s="17" customFormat="1" ht="15" customHeight="1" x14ac:dyDescent="0.25">
      <c r="A33" s="328" t="s">
        <v>152</v>
      </c>
      <c r="B33" s="328"/>
      <c r="C33" s="328"/>
      <c r="D33" s="328"/>
      <c r="E33" s="328"/>
      <c r="F33" s="328"/>
      <c r="G33" s="328"/>
      <c r="H33" s="328"/>
    </row>
    <row r="34" spans="1:10" ht="15" customHeight="1" x14ac:dyDescent="0.25">
      <c r="A34" s="339" t="s">
        <v>22</v>
      </c>
      <c r="B34" s="338" t="s">
        <v>221</v>
      </c>
      <c r="C34" s="338" t="s">
        <v>161</v>
      </c>
      <c r="D34" s="341" t="s">
        <v>115</v>
      </c>
      <c r="E34" s="338" t="s">
        <v>23</v>
      </c>
      <c r="F34" s="338" t="s">
        <v>76</v>
      </c>
      <c r="G34" s="338" t="s">
        <v>227</v>
      </c>
      <c r="H34" s="329" t="s">
        <v>230</v>
      </c>
    </row>
    <row r="35" spans="1:10" ht="12.65" customHeight="1" thickBot="1" x14ac:dyDescent="0.3">
      <c r="A35" s="339"/>
      <c r="B35" s="329"/>
      <c r="C35" s="329"/>
      <c r="D35" s="341"/>
      <c r="E35" s="329"/>
      <c r="F35" s="329"/>
      <c r="G35" s="329"/>
      <c r="H35" s="329"/>
      <c r="I35" s="17"/>
    </row>
    <row r="36" spans="1:10" s="17" customFormat="1" ht="15" customHeight="1" x14ac:dyDescent="0.25">
      <c r="A36" s="339"/>
      <c r="B36" s="330"/>
      <c r="C36" s="330"/>
      <c r="D36" s="341"/>
      <c r="E36" s="330"/>
      <c r="F36" s="330"/>
      <c r="G36" s="330"/>
      <c r="H36" s="330"/>
      <c r="I36" s="343" t="s">
        <v>228</v>
      </c>
      <c r="J36" s="320"/>
    </row>
    <row r="37" spans="1:10" s="17" customFormat="1" ht="16.399999999999999" customHeight="1" thickBot="1" x14ac:dyDescent="0.3">
      <c r="A37" s="340"/>
      <c r="B37" s="331"/>
      <c r="C37" s="331"/>
      <c r="D37" s="342"/>
      <c r="E37" s="331"/>
      <c r="F37" s="331"/>
      <c r="G37" s="331"/>
      <c r="H37" s="331"/>
      <c r="I37" s="344" t="s">
        <v>229</v>
      </c>
      <c r="J37" s="322"/>
    </row>
    <row r="38" spans="1:10" s="17" customFormat="1" ht="16.399999999999999" customHeight="1" x14ac:dyDescent="0.35">
      <c r="A38" s="55" t="s">
        <v>98</v>
      </c>
      <c r="B38" s="60">
        <f>+'2-Tuit &amp; Oth NGF Rev'!D7</f>
        <v>80736400</v>
      </c>
      <c r="C38" s="56">
        <f>ROUND(SUM($E$38:$E$39)*(B38/SUM($B$38:$B$39)),-2)</f>
        <v>17553200</v>
      </c>
      <c r="D38" s="116">
        <f t="shared" ref="D38:D44" si="6">IF(C38=0,"%",C38/B38)</f>
        <v>0.21741370682864233</v>
      </c>
      <c r="E38" s="56">
        <f>E25+1200000</f>
        <v>28390650</v>
      </c>
      <c r="F38" s="56">
        <f>F25</f>
        <v>823300</v>
      </c>
      <c r="G38" s="56">
        <f>G25*1.046</f>
        <v>1013158.738</v>
      </c>
      <c r="H38" s="124">
        <f t="shared" ref="H38:H43" si="7">B38+F38+G38</f>
        <v>82572858.738000005</v>
      </c>
      <c r="I38" s="117">
        <f>(C38+C40+C42)-(E38+E40+E42)</f>
        <v>-10457850</v>
      </c>
      <c r="J38" s="118" t="str">
        <f>IF(I38&gt;0,"WARNING: IS subsidizing OS","Compliant")</f>
        <v>Compliant</v>
      </c>
    </row>
    <row r="39" spans="1:10" s="17" customFormat="1" ht="16.399999999999999" customHeight="1" x14ac:dyDescent="0.35">
      <c r="A39" s="57" t="s">
        <v>99</v>
      </c>
      <c r="B39" s="63">
        <f>+'2-Tuit &amp; Oth NGF Rev'!D8</f>
        <v>83735400</v>
      </c>
      <c r="C39" s="56">
        <f>ROUND(SUM($E$38:$E$39)*(B39/SUM($B$38:$B$39)),-2)</f>
        <v>18205200</v>
      </c>
      <c r="D39" s="116">
        <f t="shared" si="6"/>
        <v>0.21741342371326822</v>
      </c>
      <c r="E39" s="56">
        <f>E26+300000</f>
        <v>7367700</v>
      </c>
      <c r="F39" s="56">
        <f>F26</f>
        <v>186700</v>
      </c>
      <c r="G39" s="56">
        <f>G26*1.046</f>
        <v>65802.290999999997</v>
      </c>
      <c r="H39" s="125">
        <f t="shared" si="7"/>
        <v>83987902.290999994</v>
      </c>
    </row>
    <row r="40" spans="1:10" s="17" customFormat="1" ht="16.399999999999999" customHeight="1" x14ac:dyDescent="0.35">
      <c r="A40" s="57" t="s">
        <v>100</v>
      </c>
      <c r="B40" s="63">
        <f>+'2-Tuit &amp; Oth NGF Rev'!D9</f>
        <v>17846600</v>
      </c>
      <c r="C40" s="56">
        <f>ROUND(SUM($E$40:$E$41)*(B40/SUM($B$40:$B$41)),-2)</f>
        <v>1835800</v>
      </c>
      <c r="D40" s="116">
        <f t="shared" si="6"/>
        <v>0.10286553180998061</v>
      </c>
      <c r="E40" s="56">
        <f>E27</f>
        <v>1336000</v>
      </c>
      <c r="F40" s="56">
        <f>0</f>
        <v>0</v>
      </c>
      <c r="G40" s="56">
        <f t="shared" ref="G40:G43" si="8">G27</f>
        <v>916637</v>
      </c>
      <c r="H40" s="125">
        <f t="shared" si="7"/>
        <v>18763237</v>
      </c>
      <c r="I40" s="121"/>
    </row>
    <row r="41" spans="1:10" s="17" customFormat="1" ht="15" customHeight="1" x14ac:dyDescent="0.35">
      <c r="A41" s="57" t="s">
        <v>101</v>
      </c>
      <c r="B41" s="63">
        <f>+'2-Tuit &amp; Oth NGF Rev'!D10</f>
        <v>16847200</v>
      </c>
      <c r="C41" s="56">
        <f>ROUND(SUM($E$40:$E$41)*(B41/SUM($B$40:$B$41)),-2)</f>
        <v>1733000</v>
      </c>
      <c r="D41" s="116">
        <f t="shared" si="6"/>
        <v>0.10286575810817228</v>
      </c>
      <c r="E41" s="56">
        <f t="shared" ref="E41:E43" si="9">E28</f>
        <v>2232750</v>
      </c>
      <c r="F41" s="56">
        <f>0</f>
        <v>0</v>
      </c>
      <c r="G41" s="56">
        <f t="shared" si="8"/>
        <v>194385</v>
      </c>
      <c r="H41" s="125">
        <f t="shared" si="7"/>
        <v>17041585</v>
      </c>
      <c r="I41" s="121"/>
    </row>
    <row r="42" spans="1:10" s="17" customFormat="1" ht="15" customHeight="1" x14ac:dyDescent="0.35">
      <c r="A42" s="57" t="s">
        <v>112</v>
      </c>
      <c r="B42" s="61">
        <f>+SUM('2-Tuit &amp; Oth NGF Rev'!D11+'2-Tuit &amp; Oth NGF Rev'!D13+'2-Tuit &amp; Oth NGF Rev'!D15+'2-Tuit &amp; Oth NGF Rev'!D17+'2-Tuit &amp; Oth NGF Rev'!D19)</f>
        <v>4787200</v>
      </c>
      <c r="C42" s="56">
        <f>ROUND(SUM($E$42:$E$43)*(B42/SUM($B$42:$B$43)),-2)</f>
        <v>2373900</v>
      </c>
      <c r="D42" s="116">
        <f t="shared" si="6"/>
        <v>0.49588485962566847</v>
      </c>
      <c r="E42" s="56">
        <f t="shared" si="9"/>
        <v>2494100</v>
      </c>
      <c r="F42" s="56">
        <f>0</f>
        <v>0</v>
      </c>
      <c r="G42" s="56">
        <f t="shared" si="8"/>
        <v>2541</v>
      </c>
      <c r="H42" s="125">
        <f t="shared" si="7"/>
        <v>4789741</v>
      </c>
    </row>
    <row r="43" spans="1:10" s="17" customFormat="1" ht="15" customHeight="1" thickBot="1" x14ac:dyDescent="0.4">
      <c r="A43" s="58" t="s">
        <v>113</v>
      </c>
      <c r="B43" s="61">
        <f>+SUM('2-Tuit &amp; Oth NGF Rev'!D12+'2-Tuit &amp; Oth NGF Rev'!D14+'2-Tuit &amp; Oth NGF Rev'!D16+'2-Tuit &amp; Oth NGF Rev'!D18+'2-Tuit &amp; Oth NGF Rev'!D20)</f>
        <v>21417200</v>
      </c>
      <c r="C43" s="56">
        <f>ROUND(SUM($E$42:$E$43)*(B43/SUM($B$42:$B$43)),-2)</f>
        <v>10620600</v>
      </c>
      <c r="D43" s="116">
        <f t="shared" si="6"/>
        <v>0.49589115290514169</v>
      </c>
      <c r="E43" s="56">
        <f t="shared" si="9"/>
        <v>10500400</v>
      </c>
      <c r="F43" s="56">
        <f>0</f>
        <v>0</v>
      </c>
      <c r="G43" s="56">
        <f t="shared" si="8"/>
        <v>0</v>
      </c>
      <c r="H43" s="126">
        <f t="shared" si="7"/>
        <v>21417200</v>
      </c>
    </row>
    <row r="44" spans="1:10" s="17" customFormat="1" ht="15" customHeight="1" thickBot="1" x14ac:dyDescent="0.4">
      <c r="A44" s="59" t="s">
        <v>16</v>
      </c>
      <c r="B44" s="64">
        <f>SUM(B38:B43)</f>
        <v>225370000</v>
      </c>
      <c r="C44" s="64">
        <f t="shared" ref="C44:H44" si="10">SUM(C38:C43)</f>
        <v>52321700</v>
      </c>
      <c r="D44" s="120">
        <f t="shared" si="6"/>
        <v>0.23215911612015797</v>
      </c>
      <c r="E44" s="64">
        <f t="shared" si="10"/>
        <v>52321600</v>
      </c>
      <c r="F44" s="62">
        <f t="shared" si="10"/>
        <v>1010000</v>
      </c>
      <c r="G44" s="62">
        <f t="shared" si="10"/>
        <v>2192524.0290000001</v>
      </c>
      <c r="H44" s="123">
        <f t="shared" si="10"/>
        <v>228572524.02899998</v>
      </c>
    </row>
    <row r="45" spans="1:10" s="17" customFormat="1" ht="15" customHeight="1" x14ac:dyDescent="0.25">
      <c r="A45" s="346"/>
      <c r="B45" s="346"/>
      <c r="C45" s="346"/>
      <c r="D45" s="346"/>
      <c r="E45" s="346"/>
    </row>
    <row r="46" spans="1:10" s="17" customFormat="1" ht="15" customHeight="1" x14ac:dyDescent="0.25">
      <c r="A46" s="328" t="s">
        <v>153</v>
      </c>
      <c r="B46" s="328"/>
      <c r="C46" s="328"/>
      <c r="D46" s="328"/>
      <c r="E46" s="328"/>
      <c r="F46" s="328"/>
      <c r="G46" s="328"/>
      <c r="H46" s="328"/>
    </row>
    <row r="47" spans="1:10" ht="15" customHeight="1" x14ac:dyDescent="0.25">
      <c r="A47" s="339" t="s">
        <v>22</v>
      </c>
      <c r="B47" s="338" t="s">
        <v>221</v>
      </c>
      <c r="C47" s="338" t="s">
        <v>161</v>
      </c>
      <c r="D47" s="341" t="s">
        <v>115</v>
      </c>
      <c r="E47" s="338" t="s">
        <v>23</v>
      </c>
      <c r="F47" s="338" t="s">
        <v>76</v>
      </c>
      <c r="G47" s="338" t="s">
        <v>227</v>
      </c>
      <c r="H47" s="329" t="s">
        <v>230</v>
      </c>
    </row>
    <row r="48" spans="1:10" ht="15" customHeight="1" thickBot="1" x14ac:dyDescent="0.3">
      <c r="A48" s="339"/>
      <c r="B48" s="329"/>
      <c r="C48" s="329"/>
      <c r="D48" s="341"/>
      <c r="E48" s="329"/>
      <c r="F48" s="329"/>
      <c r="G48" s="329"/>
      <c r="H48" s="329"/>
      <c r="I48" s="17"/>
    </row>
    <row r="49" spans="1:10" ht="15" customHeight="1" x14ac:dyDescent="0.25">
      <c r="A49" s="339"/>
      <c r="B49" s="330"/>
      <c r="C49" s="330"/>
      <c r="D49" s="341"/>
      <c r="E49" s="330"/>
      <c r="F49" s="330"/>
      <c r="G49" s="330"/>
      <c r="H49" s="330"/>
      <c r="I49" s="343" t="s">
        <v>228</v>
      </c>
      <c r="J49" s="320"/>
    </row>
    <row r="50" spans="1:10" ht="15" customHeight="1" thickBot="1" x14ac:dyDescent="0.3">
      <c r="A50" s="340"/>
      <c r="B50" s="331"/>
      <c r="C50" s="331"/>
      <c r="D50" s="342"/>
      <c r="E50" s="331"/>
      <c r="F50" s="331"/>
      <c r="G50" s="331"/>
      <c r="H50" s="331"/>
      <c r="I50" s="344" t="s">
        <v>229</v>
      </c>
      <c r="J50" s="322"/>
    </row>
    <row r="51" spans="1:10" ht="15.5" x14ac:dyDescent="0.35">
      <c r="A51" s="55" t="s">
        <v>98</v>
      </c>
      <c r="B51" s="60">
        <f>+'2-Tuit &amp; Oth NGF Rev'!E7</f>
        <v>86998400</v>
      </c>
      <c r="C51" s="56">
        <f>ROUND(SUM($E$51:$E$52)*(B51/SUM($B$51:$B$52)),-2)</f>
        <v>18595300</v>
      </c>
      <c r="D51" s="116">
        <f t="shared" ref="D51:D57" si="11">IF(C51=0,"%",C51/B51)</f>
        <v>0.21374301136572627</v>
      </c>
      <c r="E51" s="56">
        <f>E38+1500000</f>
        <v>29890650</v>
      </c>
      <c r="F51" s="56">
        <f>F38</f>
        <v>823300</v>
      </c>
      <c r="G51" s="56">
        <f>G38*1.035</f>
        <v>1048619.2938299999</v>
      </c>
      <c r="H51" s="124">
        <f t="shared" ref="H51:H56" si="12">B51+F51+G51</f>
        <v>88870319.293830007</v>
      </c>
      <c r="I51" s="117">
        <f>(C51+C53+C55)-(E51+E53+E55)</f>
        <v>-10915750</v>
      </c>
      <c r="J51" s="118" t="str">
        <f>IF(I51&gt;0,"WARNING: IS subsidizing OS","Compliant")</f>
        <v>Compliant</v>
      </c>
    </row>
    <row r="52" spans="1:10" ht="15.5" x14ac:dyDescent="0.35">
      <c r="A52" s="57" t="s">
        <v>99</v>
      </c>
      <c r="B52" s="63">
        <f>+'2-Tuit &amp; Oth NGF Rev'!E8</f>
        <v>88250900</v>
      </c>
      <c r="C52" s="56">
        <f>ROUND(SUM($E$51:$E$52)*(B52/SUM($B$51:$B$52)),-2)</f>
        <v>18863000</v>
      </c>
      <c r="D52" s="116">
        <f t="shared" si="11"/>
        <v>0.21374286267902085</v>
      </c>
      <c r="E52" s="56">
        <f>E39+200000</f>
        <v>7567700</v>
      </c>
      <c r="F52" s="56">
        <f>F39</f>
        <v>186700</v>
      </c>
      <c r="G52" s="56">
        <f>G39*1.035</f>
        <v>68105.371184999996</v>
      </c>
      <c r="H52" s="125">
        <f t="shared" si="12"/>
        <v>88505705.371185005</v>
      </c>
    </row>
    <row r="53" spans="1:10" ht="15.5" x14ac:dyDescent="0.35">
      <c r="A53" s="57" t="s">
        <v>100</v>
      </c>
      <c r="B53" s="63">
        <f>+'2-Tuit &amp; Oth NGF Rev'!E9</f>
        <v>17846600</v>
      </c>
      <c r="C53" s="56">
        <f>ROUND(SUM($E$53:$E$54)*(B53/SUM($B$53:$B$54)),-2)</f>
        <v>1835800</v>
      </c>
      <c r="D53" s="116">
        <f t="shared" si="11"/>
        <v>0.10286553180998061</v>
      </c>
      <c r="E53" s="56">
        <f>E40</f>
        <v>1336000</v>
      </c>
      <c r="F53" s="56">
        <f>0</f>
        <v>0</v>
      </c>
      <c r="G53" s="56">
        <f t="shared" ref="G53:G56" si="13">G40</f>
        <v>916637</v>
      </c>
      <c r="H53" s="125">
        <f t="shared" si="12"/>
        <v>18763237</v>
      </c>
    </row>
    <row r="54" spans="1:10" ht="15.5" x14ac:dyDescent="0.35">
      <c r="A54" s="57" t="s">
        <v>101</v>
      </c>
      <c r="B54" s="63">
        <f>+'2-Tuit &amp; Oth NGF Rev'!E10</f>
        <v>16847200</v>
      </c>
      <c r="C54" s="56">
        <f>ROUND(SUM($E$53:$E$54)*(B54/SUM($B$53:$B$54)),-2)</f>
        <v>1733000</v>
      </c>
      <c r="D54" s="116">
        <f t="shared" si="11"/>
        <v>0.10286575810817228</v>
      </c>
      <c r="E54" s="56">
        <f t="shared" ref="E54:E56" si="14">E41</f>
        <v>2232750</v>
      </c>
      <c r="F54" s="56">
        <f>0</f>
        <v>0</v>
      </c>
      <c r="G54" s="56">
        <f t="shared" si="13"/>
        <v>194385</v>
      </c>
      <c r="H54" s="125">
        <f t="shared" si="12"/>
        <v>17041585</v>
      </c>
    </row>
    <row r="55" spans="1:10" ht="15.5" x14ac:dyDescent="0.35">
      <c r="A55" s="57" t="s">
        <v>112</v>
      </c>
      <c r="B55" s="61">
        <f>+SUM('2-Tuit &amp; Oth NGF Rev'!E11+'2-Tuit &amp; Oth NGF Rev'!E13+'2-Tuit &amp; Oth NGF Rev'!E15+'2-Tuit &amp; Oth NGF Rev'!E17+'2-Tuit &amp; Oth NGF Rev'!E19)</f>
        <v>4787200</v>
      </c>
      <c r="C55" s="56">
        <f>ROUND(SUM($E$55:$E$56)*(B55/SUM($B$55:$B$56)),-2)</f>
        <v>2373900</v>
      </c>
      <c r="D55" s="116">
        <f t="shared" si="11"/>
        <v>0.49588485962566847</v>
      </c>
      <c r="E55" s="56">
        <f t="shared" si="14"/>
        <v>2494100</v>
      </c>
      <c r="F55" s="56">
        <f>0</f>
        <v>0</v>
      </c>
      <c r="G55" s="56">
        <f t="shared" si="13"/>
        <v>2541</v>
      </c>
      <c r="H55" s="125">
        <f t="shared" si="12"/>
        <v>4789741</v>
      </c>
    </row>
    <row r="56" spans="1:10" ht="16" thickBot="1" x14ac:dyDescent="0.4">
      <c r="A56" s="58" t="s">
        <v>113</v>
      </c>
      <c r="B56" s="61">
        <f>+SUM('2-Tuit &amp; Oth NGF Rev'!E12+'2-Tuit &amp; Oth NGF Rev'!E14+'2-Tuit &amp; Oth NGF Rev'!E16+'2-Tuit &amp; Oth NGF Rev'!E18+'2-Tuit &amp; Oth NGF Rev'!E20)</f>
        <v>21417200</v>
      </c>
      <c r="C56" s="56">
        <f>ROUND(SUM($E$55:$E$56)*(B56/SUM($B$55:$B$56)),-2)</f>
        <v>10620600</v>
      </c>
      <c r="D56" s="116">
        <f t="shared" si="11"/>
        <v>0.49589115290514169</v>
      </c>
      <c r="E56" s="56">
        <f t="shared" si="14"/>
        <v>10500400</v>
      </c>
      <c r="F56" s="56">
        <f>0</f>
        <v>0</v>
      </c>
      <c r="G56" s="56">
        <f t="shared" si="13"/>
        <v>0</v>
      </c>
      <c r="H56" s="126">
        <f t="shared" si="12"/>
        <v>21417200</v>
      </c>
    </row>
    <row r="57" spans="1:10" ht="16" thickBot="1" x14ac:dyDescent="0.4">
      <c r="A57" s="59" t="s">
        <v>16</v>
      </c>
      <c r="B57" s="64">
        <f>SUM(B51:B56)</f>
        <v>236147500</v>
      </c>
      <c r="C57" s="64">
        <f t="shared" ref="C57:H57" si="15">SUM(C51:C56)</f>
        <v>54021600</v>
      </c>
      <c r="D57" s="120">
        <f t="shared" si="11"/>
        <v>0.22876210842799521</v>
      </c>
      <c r="E57" s="64">
        <f t="shared" si="15"/>
        <v>54021600</v>
      </c>
      <c r="F57" s="62">
        <f t="shared" si="15"/>
        <v>1010000</v>
      </c>
      <c r="G57" s="62">
        <f t="shared" si="15"/>
        <v>2230287.6650149999</v>
      </c>
      <c r="H57" s="123">
        <f t="shared" si="15"/>
        <v>239387787.66501501</v>
      </c>
      <c r="I57" s="121"/>
    </row>
    <row r="59" spans="1:10" ht="65.150000000000006" customHeight="1" x14ac:dyDescent="0.25">
      <c r="A59" s="347" t="s">
        <v>123</v>
      </c>
      <c r="B59" s="347"/>
      <c r="C59" s="347"/>
      <c r="D59" s="347"/>
      <c r="E59" s="347"/>
      <c r="F59" s="347"/>
      <c r="G59" s="347"/>
      <c r="H59" s="347"/>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45" t="str">
        <f>'Institution ID'!A1</f>
        <v>Six-Year Plans - Part I (2021): 2022-23 through 2027-28</v>
      </c>
      <c r="B1" s="245"/>
      <c r="C1" s="245"/>
      <c r="D1" s="245"/>
      <c r="E1" s="245"/>
      <c r="F1" s="245"/>
      <c r="G1" s="245"/>
      <c r="H1" s="245"/>
      <c r="I1" s="15"/>
      <c r="J1" s="12"/>
      <c r="K1" s="12"/>
      <c r="L1" s="12"/>
      <c r="M1" s="12"/>
    </row>
    <row r="2" spans="1:13" s="8" customFormat="1" ht="20.149999999999999" customHeight="1" x14ac:dyDescent="0.25">
      <c r="A2" s="51" t="str">
        <f>'Institution ID'!C3</f>
        <v>William &amp; Mary</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374" t="s">
        <v>74</v>
      </c>
      <c r="B6" s="375"/>
      <c r="C6" s="375"/>
      <c r="D6" s="375"/>
      <c r="E6" s="375"/>
      <c r="F6" s="375"/>
      <c r="G6" s="375"/>
      <c r="H6" s="376"/>
      <c r="I6" s="25"/>
    </row>
    <row r="7" spans="1:13" s="20" customFormat="1" ht="20.149999999999999" customHeight="1" x14ac:dyDescent="0.25">
      <c r="A7" s="377" t="s">
        <v>31</v>
      </c>
      <c r="B7" s="378"/>
      <c r="C7" s="378"/>
      <c r="D7" s="378"/>
      <c r="E7" s="378"/>
      <c r="F7" s="378"/>
      <c r="G7" s="378"/>
      <c r="H7" s="379"/>
    </row>
    <row r="8" spans="1:13" s="8" customFormat="1" ht="20.149999999999999" customHeight="1" x14ac:dyDescent="0.25">
      <c r="A8" s="382" t="s">
        <v>14</v>
      </c>
      <c r="B8" s="358" t="s">
        <v>29</v>
      </c>
      <c r="C8" s="358"/>
      <c r="D8" s="358"/>
      <c r="E8" s="358" t="s">
        <v>30</v>
      </c>
      <c r="F8" s="358"/>
      <c r="G8" s="358"/>
      <c r="H8" s="386" t="s">
        <v>16</v>
      </c>
    </row>
    <row r="9" spans="1:13" s="8" customFormat="1" ht="20.149999999999999" customHeight="1" x14ac:dyDescent="0.25">
      <c r="A9" s="383"/>
      <c r="B9" s="46" t="s">
        <v>44</v>
      </c>
      <c r="C9" s="46" t="s">
        <v>45</v>
      </c>
      <c r="D9" s="46" t="s">
        <v>16</v>
      </c>
      <c r="E9" s="46" t="s">
        <v>44</v>
      </c>
      <c r="F9" s="46" t="s">
        <v>45</v>
      </c>
      <c r="G9" s="46" t="s">
        <v>16</v>
      </c>
      <c r="H9" s="387"/>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B24+C24</f>
        <v>20861</v>
      </c>
      <c r="E24" s="23">
        <v>9648</v>
      </c>
      <c r="F24" s="23">
        <v>0</v>
      </c>
      <c r="G24" s="30">
        <f>E24+F24</f>
        <v>9648</v>
      </c>
      <c r="H24" s="31">
        <f>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3">SUM(C10:C25)</f>
        <v>62522</v>
      </c>
      <c r="D26" s="28">
        <f t="shared" si="3"/>
        <v>438201</v>
      </c>
      <c r="E26" s="28">
        <f t="shared" si="3"/>
        <v>969136</v>
      </c>
      <c r="F26" s="28">
        <f t="shared" si="3"/>
        <v>56163</v>
      </c>
      <c r="G26" s="28">
        <f t="shared" si="3"/>
        <v>1025299</v>
      </c>
      <c r="H26" s="28">
        <f t="shared" si="3"/>
        <v>1463500</v>
      </c>
    </row>
    <row r="27" spans="1:8" s="20" customFormat="1" ht="20.149999999999999" customHeight="1" thickBot="1" x14ac:dyDescent="0.3">
      <c r="A27" s="380"/>
      <c r="B27" s="381"/>
      <c r="C27" s="381"/>
      <c r="D27" s="381"/>
      <c r="E27" s="381"/>
      <c r="F27" s="381"/>
      <c r="G27" s="381"/>
      <c r="H27" s="381"/>
    </row>
    <row r="28" spans="1:8" s="20" customFormat="1" ht="20.149999999999999" customHeight="1" x14ac:dyDescent="0.25">
      <c r="A28" s="389" t="s">
        <v>27</v>
      </c>
      <c r="B28" s="390"/>
      <c r="C28" s="390"/>
      <c r="D28" s="390"/>
      <c r="E28" s="390"/>
      <c r="F28" s="390"/>
      <c r="G28" s="390"/>
      <c r="H28" s="391"/>
    </row>
    <row r="29" spans="1:8" s="8" customFormat="1" ht="20.149999999999999" customHeight="1" x14ac:dyDescent="0.25">
      <c r="A29" s="384" t="s">
        <v>14</v>
      </c>
      <c r="B29" s="358" t="s">
        <v>29</v>
      </c>
      <c r="C29" s="358"/>
      <c r="D29" s="358"/>
      <c r="E29" s="358" t="s">
        <v>30</v>
      </c>
      <c r="F29" s="358"/>
      <c r="G29" s="358"/>
      <c r="H29" s="379" t="s">
        <v>16</v>
      </c>
    </row>
    <row r="30" spans="1:8" s="8" customFormat="1" ht="20.149999999999999" customHeight="1" thickBot="1" x14ac:dyDescent="0.3">
      <c r="A30" s="385"/>
      <c r="B30" s="46" t="s">
        <v>44</v>
      </c>
      <c r="C30" s="46" t="s">
        <v>45</v>
      </c>
      <c r="D30" s="46" t="s">
        <v>16</v>
      </c>
      <c r="E30" s="46" t="s">
        <v>44</v>
      </c>
      <c r="F30" s="46" t="s">
        <v>45</v>
      </c>
      <c r="G30" s="46" t="s">
        <v>16</v>
      </c>
      <c r="H30" s="388"/>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B33+C33</f>
        <v>0</v>
      </c>
      <c r="E33" s="23">
        <v>920700</v>
      </c>
      <c r="F33" s="23">
        <v>0</v>
      </c>
      <c r="G33" s="30">
        <f>E33+F33</f>
        <v>920700</v>
      </c>
      <c r="H33" s="31">
        <f>SUM(D33,G33)</f>
        <v>920700</v>
      </c>
    </row>
    <row r="34" spans="1:8" s="8" customFormat="1" ht="20.149999999999999" customHeight="1" x14ac:dyDescent="0.25">
      <c r="A34" s="49" t="s">
        <v>34</v>
      </c>
      <c r="B34" s="23">
        <v>0</v>
      </c>
      <c r="C34" s="23">
        <v>0</v>
      </c>
      <c r="D34" s="24">
        <f>B34+C34</f>
        <v>0</v>
      </c>
      <c r="E34" s="23">
        <v>19800</v>
      </c>
      <c r="F34" s="23">
        <v>0</v>
      </c>
      <c r="G34" s="30">
        <f>E34+F34</f>
        <v>19800</v>
      </c>
      <c r="H34" s="31">
        <f>SUM(D34,G34)</f>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B36+C36</f>
        <v>0</v>
      </c>
      <c r="E36" s="23">
        <v>0</v>
      </c>
      <c r="F36" s="23">
        <v>0</v>
      </c>
      <c r="G36" s="30">
        <f>E36+F36</f>
        <v>0</v>
      </c>
      <c r="H36" s="31">
        <f>SUM(D36,G36)</f>
        <v>0</v>
      </c>
    </row>
    <row r="37" spans="1:8" s="8" customFormat="1" ht="20.149999999999999" customHeight="1" x14ac:dyDescent="0.25">
      <c r="A37" s="49" t="s">
        <v>36</v>
      </c>
      <c r="B37" s="23">
        <v>0</v>
      </c>
      <c r="C37" s="23">
        <v>0</v>
      </c>
      <c r="D37" s="24">
        <f>B37+C37</f>
        <v>0</v>
      </c>
      <c r="E37" s="23">
        <v>0</v>
      </c>
      <c r="F37" s="23">
        <v>0</v>
      </c>
      <c r="G37" s="30">
        <f>E37+F37</f>
        <v>0</v>
      </c>
      <c r="H37" s="31">
        <f>SUM(D37,G37)</f>
        <v>0</v>
      </c>
    </row>
    <row r="38" spans="1:8" s="8" customFormat="1" ht="20.149999999999999" customHeight="1" x14ac:dyDescent="0.25">
      <c r="A38" s="49" t="s">
        <v>37</v>
      </c>
      <c r="B38" s="23">
        <v>0</v>
      </c>
      <c r="C38" s="23">
        <v>0</v>
      </c>
      <c r="D38" s="24">
        <f t="shared" ref="D38:D46" si="4">B38+C38</f>
        <v>0</v>
      </c>
      <c r="E38" s="23">
        <v>0</v>
      </c>
      <c r="F38" s="23">
        <v>0</v>
      </c>
      <c r="G38" s="30">
        <f t="shared" ref="G38:G46" si="5">E38+F38</f>
        <v>0</v>
      </c>
      <c r="H38" s="31">
        <f t="shared" ref="H38:H46" si="6">SUM(D38,G38)</f>
        <v>0</v>
      </c>
    </row>
    <row r="39" spans="1:8" s="8" customFormat="1" ht="20.149999999999999" customHeight="1" x14ac:dyDescent="0.25">
      <c r="A39" s="49" t="s">
        <v>15</v>
      </c>
      <c r="B39" s="23">
        <v>0</v>
      </c>
      <c r="C39" s="23">
        <v>0</v>
      </c>
      <c r="D39" s="24">
        <f t="shared" si="4"/>
        <v>0</v>
      </c>
      <c r="E39" s="23">
        <v>0</v>
      </c>
      <c r="F39" s="23">
        <v>0</v>
      </c>
      <c r="G39" s="30">
        <f t="shared" si="5"/>
        <v>0</v>
      </c>
      <c r="H39" s="31">
        <f t="shared" si="6"/>
        <v>0</v>
      </c>
    </row>
    <row r="40" spans="1:8" s="8" customFormat="1" ht="20.149999999999999" customHeight="1" x14ac:dyDescent="0.25">
      <c r="A40" s="49" t="s">
        <v>38</v>
      </c>
      <c r="B40" s="23">
        <v>0</v>
      </c>
      <c r="C40" s="23">
        <v>0</v>
      </c>
      <c r="D40" s="24">
        <f t="shared" si="4"/>
        <v>0</v>
      </c>
      <c r="E40" s="23">
        <v>0</v>
      </c>
      <c r="F40" s="23">
        <v>0</v>
      </c>
      <c r="G40" s="30">
        <f t="shared" si="5"/>
        <v>0</v>
      </c>
      <c r="H40" s="31">
        <f t="shared" si="6"/>
        <v>0</v>
      </c>
    </row>
    <row r="41" spans="1:8" s="8" customFormat="1" ht="20.149999999999999" customHeight="1" x14ac:dyDescent="0.25">
      <c r="A41" s="49" t="s">
        <v>39</v>
      </c>
      <c r="B41" s="23">
        <v>0</v>
      </c>
      <c r="C41" s="23">
        <v>0</v>
      </c>
      <c r="D41" s="24">
        <f t="shared" si="4"/>
        <v>0</v>
      </c>
      <c r="E41" s="23">
        <v>0</v>
      </c>
      <c r="F41" s="23">
        <v>0</v>
      </c>
      <c r="G41" s="30">
        <f t="shared" si="5"/>
        <v>0</v>
      </c>
      <c r="H41" s="31">
        <f t="shared" si="6"/>
        <v>0</v>
      </c>
    </row>
    <row r="42" spans="1:8" s="8" customFormat="1" ht="20.149999999999999" customHeight="1" x14ac:dyDescent="0.25">
      <c r="A42" s="49" t="s">
        <v>40</v>
      </c>
      <c r="B42" s="23">
        <v>42885</v>
      </c>
      <c r="C42" s="23">
        <v>0</v>
      </c>
      <c r="D42" s="24">
        <f t="shared" si="4"/>
        <v>42885</v>
      </c>
      <c r="E42" s="23">
        <v>0</v>
      </c>
      <c r="F42" s="23">
        <v>0</v>
      </c>
      <c r="G42" s="30">
        <f t="shared" si="5"/>
        <v>0</v>
      </c>
      <c r="H42" s="31">
        <f t="shared" si="6"/>
        <v>42885</v>
      </c>
    </row>
    <row r="43" spans="1:8" s="8" customFormat="1" ht="20.149999999999999" customHeight="1" x14ac:dyDescent="0.25">
      <c r="A43" s="49" t="s">
        <v>41</v>
      </c>
      <c r="B43" s="23">
        <v>0</v>
      </c>
      <c r="C43" s="23">
        <v>0</v>
      </c>
      <c r="D43" s="24">
        <f t="shared" si="4"/>
        <v>0</v>
      </c>
      <c r="E43" s="23">
        <v>0</v>
      </c>
      <c r="F43" s="23">
        <v>0</v>
      </c>
      <c r="G43" s="30">
        <f t="shared" si="5"/>
        <v>0</v>
      </c>
      <c r="H43" s="31">
        <f t="shared" si="6"/>
        <v>0</v>
      </c>
    </row>
    <row r="44" spans="1:8" s="8" customFormat="1" ht="20.149999999999999" customHeight="1" x14ac:dyDescent="0.25">
      <c r="A44" s="49" t="s">
        <v>42</v>
      </c>
      <c r="B44" s="23">
        <v>90301</v>
      </c>
      <c r="C44" s="23">
        <v>0</v>
      </c>
      <c r="D44" s="24">
        <f t="shared" si="4"/>
        <v>90301</v>
      </c>
      <c r="E44" s="23">
        <v>0</v>
      </c>
      <c r="F44" s="23">
        <v>0</v>
      </c>
      <c r="G44" s="30">
        <f t="shared" si="5"/>
        <v>0</v>
      </c>
      <c r="H44" s="31">
        <f t="shared" si="6"/>
        <v>90301</v>
      </c>
    </row>
    <row r="45" spans="1:8" s="8" customFormat="1" ht="20.149999999999999" customHeight="1" x14ac:dyDescent="0.25">
      <c r="A45" s="50" t="s">
        <v>116</v>
      </c>
      <c r="B45" s="23">
        <v>10536</v>
      </c>
      <c r="C45" s="23">
        <v>0</v>
      </c>
      <c r="D45" s="24">
        <f t="shared" si="4"/>
        <v>10536</v>
      </c>
      <c r="E45" s="23">
        <v>2517</v>
      </c>
      <c r="F45" s="23">
        <v>0</v>
      </c>
      <c r="G45" s="30">
        <f t="shared" si="5"/>
        <v>2517</v>
      </c>
      <c r="H45" s="31">
        <f t="shared" si="6"/>
        <v>13053</v>
      </c>
    </row>
    <row r="46" spans="1:8" s="8" customFormat="1" ht="20.149999999999999" customHeight="1" x14ac:dyDescent="0.25">
      <c r="A46" s="49" t="s">
        <v>43</v>
      </c>
      <c r="B46" s="23">
        <v>0</v>
      </c>
      <c r="C46" s="23">
        <v>0</v>
      </c>
      <c r="D46" s="24">
        <f t="shared" si="4"/>
        <v>0</v>
      </c>
      <c r="E46" s="23">
        <v>0</v>
      </c>
      <c r="F46" s="23">
        <v>0</v>
      </c>
      <c r="G46" s="30">
        <f t="shared" si="5"/>
        <v>0</v>
      </c>
      <c r="H46" s="31">
        <f t="shared" si="6"/>
        <v>0</v>
      </c>
    </row>
    <row r="47" spans="1:8" s="8" customFormat="1" ht="20.149999999999999" customHeight="1" thickBot="1" x14ac:dyDescent="0.3">
      <c r="A47" s="27" t="s">
        <v>16</v>
      </c>
      <c r="B47" s="28">
        <f t="shared" ref="B47:H47" si="7">SUM(B31:B46)</f>
        <v>486222</v>
      </c>
      <c r="C47" s="28">
        <f t="shared" si="7"/>
        <v>76070</v>
      </c>
      <c r="D47" s="28">
        <f t="shared" si="7"/>
        <v>562292</v>
      </c>
      <c r="E47" s="28">
        <f t="shared" si="7"/>
        <v>970862</v>
      </c>
      <c r="F47" s="28">
        <f t="shared" si="7"/>
        <v>11470</v>
      </c>
      <c r="G47" s="28">
        <f t="shared" si="7"/>
        <v>982332</v>
      </c>
      <c r="H47" s="28">
        <f t="shared" si="7"/>
        <v>1544624</v>
      </c>
    </row>
    <row r="48" spans="1:8" s="20" customFormat="1" ht="20.149999999999999" customHeight="1" thickBot="1" x14ac:dyDescent="0.3">
      <c r="A48" s="380"/>
      <c r="B48" s="381"/>
      <c r="C48" s="381"/>
      <c r="D48" s="381"/>
      <c r="E48" s="381"/>
      <c r="F48" s="381"/>
      <c r="G48" s="381"/>
      <c r="H48" s="381"/>
    </row>
    <row r="49" spans="1:8" s="20" customFormat="1" ht="20.149999999999999" customHeight="1" x14ac:dyDescent="0.25">
      <c r="A49" s="389" t="s">
        <v>24</v>
      </c>
      <c r="B49" s="390"/>
      <c r="C49" s="390"/>
      <c r="D49" s="390"/>
      <c r="E49" s="390"/>
      <c r="F49" s="390"/>
      <c r="G49" s="390"/>
      <c r="H49" s="391"/>
    </row>
    <row r="50" spans="1:8" s="8" customFormat="1" ht="20.149999999999999" customHeight="1" x14ac:dyDescent="0.25">
      <c r="A50" s="384" t="s">
        <v>14</v>
      </c>
      <c r="B50" s="358" t="s">
        <v>29</v>
      </c>
      <c r="C50" s="358"/>
      <c r="D50" s="358"/>
      <c r="E50" s="358" t="s">
        <v>30</v>
      </c>
      <c r="F50" s="358"/>
      <c r="G50" s="358"/>
      <c r="H50" s="379" t="s">
        <v>16</v>
      </c>
    </row>
    <row r="51" spans="1:8" s="8" customFormat="1" ht="20.149999999999999" customHeight="1" thickBot="1" x14ac:dyDescent="0.3">
      <c r="A51" s="385"/>
      <c r="B51" s="46" t="s">
        <v>44</v>
      </c>
      <c r="C51" s="46" t="s">
        <v>45</v>
      </c>
      <c r="D51" s="46" t="s">
        <v>16</v>
      </c>
      <c r="E51" s="46" t="s">
        <v>44</v>
      </c>
      <c r="F51" s="46" t="s">
        <v>45</v>
      </c>
      <c r="G51" s="46" t="s">
        <v>16</v>
      </c>
      <c r="H51" s="379"/>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B54+C54</f>
        <v>0</v>
      </c>
      <c r="E54" s="23">
        <v>957528</v>
      </c>
      <c r="F54" s="23">
        <v>0</v>
      </c>
      <c r="G54" s="30">
        <f>E54+F54</f>
        <v>957528</v>
      </c>
      <c r="H54" s="31">
        <f>SUM(D54,G54)</f>
        <v>957528</v>
      </c>
    </row>
    <row r="55" spans="1:8" s="8" customFormat="1" ht="20.149999999999999" customHeight="1" x14ac:dyDescent="0.25">
      <c r="A55" s="49" t="s">
        <v>34</v>
      </c>
      <c r="B55" s="23">
        <v>0</v>
      </c>
      <c r="C55" s="23">
        <v>0</v>
      </c>
      <c r="D55" s="24">
        <f>B55+C55</f>
        <v>0</v>
      </c>
      <c r="E55" s="23">
        <v>20592</v>
      </c>
      <c r="F55" s="23">
        <v>0</v>
      </c>
      <c r="G55" s="30">
        <f>E55+F55</f>
        <v>20592</v>
      </c>
      <c r="H55" s="31">
        <f>SUM(D55,G55)</f>
        <v>20592</v>
      </c>
    </row>
    <row r="56" spans="1:8" s="8" customFormat="1" ht="20.149999999999999" customHeight="1" x14ac:dyDescent="0.25">
      <c r="A56" s="41" t="s">
        <v>95</v>
      </c>
      <c r="B56" s="23">
        <v>0</v>
      </c>
      <c r="C56" s="23">
        <v>0</v>
      </c>
      <c r="D56" s="24">
        <f>B56+C56</f>
        <v>0</v>
      </c>
      <c r="E56" s="23">
        <v>0</v>
      </c>
      <c r="F56" s="23">
        <v>0</v>
      </c>
      <c r="G56" s="30">
        <f>E56+F56</f>
        <v>0</v>
      </c>
      <c r="H56" s="31">
        <f>SUM(D56,G56)</f>
        <v>0</v>
      </c>
    </row>
    <row r="57" spans="1:8" s="8" customFormat="1" ht="20.149999999999999" customHeight="1" x14ac:dyDescent="0.25">
      <c r="A57" s="49" t="s">
        <v>35</v>
      </c>
      <c r="B57" s="23">
        <v>0</v>
      </c>
      <c r="C57" s="23">
        <v>0</v>
      </c>
      <c r="D57" s="24">
        <f t="shared" ref="D57:D67" si="8">B57+C57</f>
        <v>0</v>
      </c>
      <c r="E57" s="23">
        <v>0</v>
      </c>
      <c r="F57" s="23">
        <v>0</v>
      </c>
      <c r="G57" s="30">
        <f t="shared" ref="G57:G67" si="9">E57+F57</f>
        <v>0</v>
      </c>
      <c r="H57" s="31">
        <f t="shared" ref="H57:H67" si="10">SUM(D57,G57)</f>
        <v>0</v>
      </c>
    </row>
    <row r="58" spans="1:8" s="8" customFormat="1" ht="20.149999999999999" customHeight="1" x14ac:dyDescent="0.25">
      <c r="A58" s="49" t="s">
        <v>36</v>
      </c>
      <c r="B58" s="23">
        <v>0</v>
      </c>
      <c r="C58" s="23">
        <v>0</v>
      </c>
      <c r="D58" s="24">
        <f t="shared" si="8"/>
        <v>0</v>
      </c>
      <c r="E58" s="23">
        <v>0</v>
      </c>
      <c r="F58" s="23">
        <v>0</v>
      </c>
      <c r="G58" s="30">
        <f t="shared" si="9"/>
        <v>0</v>
      </c>
      <c r="H58" s="31">
        <f t="shared" si="10"/>
        <v>0</v>
      </c>
    </row>
    <row r="59" spans="1:8" s="8" customFormat="1" ht="20.149999999999999" customHeight="1" x14ac:dyDescent="0.25">
      <c r="A59" s="49" t="s">
        <v>37</v>
      </c>
      <c r="B59" s="23">
        <v>0</v>
      </c>
      <c r="C59" s="23">
        <v>0</v>
      </c>
      <c r="D59" s="24">
        <f t="shared" si="8"/>
        <v>0</v>
      </c>
      <c r="E59" s="23">
        <v>0</v>
      </c>
      <c r="F59" s="23">
        <v>0</v>
      </c>
      <c r="G59" s="30">
        <f t="shared" si="9"/>
        <v>0</v>
      </c>
      <c r="H59" s="31">
        <f t="shared" si="10"/>
        <v>0</v>
      </c>
    </row>
    <row r="60" spans="1:8" s="8" customFormat="1" ht="20.149999999999999" customHeight="1" x14ac:dyDescent="0.25">
      <c r="A60" s="49" t="s">
        <v>15</v>
      </c>
      <c r="B60" s="23">
        <v>0</v>
      </c>
      <c r="C60" s="23">
        <v>0</v>
      </c>
      <c r="D60" s="24">
        <f t="shared" si="8"/>
        <v>0</v>
      </c>
      <c r="E60" s="23">
        <v>0</v>
      </c>
      <c r="F60" s="23">
        <v>0</v>
      </c>
      <c r="G60" s="30">
        <f t="shared" si="9"/>
        <v>0</v>
      </c>
      <c r="H60" s="31">
        <f t="shared" si="10"/>
        <v>0</v>
      </c>
    </row>
    <row r="61" spans="1:8" s="8" customFormat="1" ht="20.149999999999999" customHeight="1" x14ac:dyDescent="0.25">
      <c r="A61" s="49" t="s">
        <v>38</v>
      </c>
      <c r="B61" s="23">
        <v>0</v>
      </c>
      <c r="C61" s="23">
        <v>0</v>
      </c>
      <c r="D61" s="24">
        <f t="shared" si="8"/>
        <v>0</v>
      </c>
      <c r="E61" s="23">
        <v>0</v>
      </c>
      <c r="F61" s="23">
        <v>0</v>
      </c>
      <c r="G61" s="30">
        <f t="shared" si="9"/>
        <v>0</v>
      </c>
      <c r="H61" s="31">
        <f t="shared" si="10"/>
        <v>0</v>
      </c>
    </row>
    <row r="62" spans="1:8" s="8" customFormat="1" ht="20.149999999999999" customHeight="1" x14ac:dyDescent="0.25">
      <c r="A62" s="49" t="s">
        <v>39</v>
      </c>
      <c r="B62" s="23">
        <v>0</v>
      </c>
      <c r="C62" s="23">
        <v>0</v>
      </c>
      <c r="D62" s="24">
        <f t="shared" si="8"/>
        <v>0</v>
      </c>
      <c r="E62" s="23">
        <v>0</v>
      </c>
      <c r="F62" s="23">
        <v>0</v>
      </c>
      <c r="G62" s="30">
        <f t="shared" si="9"/>
        <v>0</v>
      </c>
      <c r="H62" s="31">
        <f t="shared" si="10"/>
        <v>0</v>
      </c>
    </row>
    <row r="63" spans="1:8" s="8" customFormat="1" ht="20.149999999999999" customHeight="1" x14ac:dyDescent="0.25">
      <c r="A63" s="49" t="s">
        <v>40</v>
      </c>
      <c r="B63" s="23">
        <v>44600</v>
      </c>
      <c r="C63" s="23">
        <v>0</v>
      </c>
      <c r="D63" s="24">
        <f t="shared" si="8"/>
        <v>44600</v>
      </c>
      <c r="E63" s="23">
        <v>0</v>
      </c>
      <c r="F63" s="23">
        <v>0</v>
      </c>
      <c r="G63" s="30">
        <f t="shared" si="9"/>
        <v>0</v>
      </c>
      <c r="H63" s="31">
        <f t="shared" si="10"/>
        <v>44600</v>
      </c>
    </row>
    <row r="64" spans="1:8" s="8" customFormat="1" ht="20.149999999999999" customHeight="1" x14ac:dyDescent="0.25">
      <c r="A64" s="49" t="s">
        <v>41</v>
      </c>
      <c r="B64" s="23">
        <v>0</v>
      </c>
      <c r="C64" s="23">
        <v>0</v>
      </c>
      <c r="D64" s="24">
        <f t="shared" si="8"/>
        <v>0</v>
      </c>
      <c r="E64" s="23">
        <v>0</v>
      </c>
      <c r="F64" s="23">
        <v>0</v>
      </c>
      <c r="G64" s="30">
        <f t="shared" si="9"/>
        <v>0</v>
      </c>
      <c r="H64" s="31">
        <f t="shared" si="10"/>
        <v>0</v>
      </c>
    </row>
    <row r="65" spans="1:8" s="8" customFormat="1" ht="20.149999999999999" customHeight="1" x14ac:dyDescent="0.25">
      <c r="A65" s="49" t="s">
        <v>42</v>
      </c>
      <c r="B65" s="23">
        <v>93913</v>
      </c>
      <c r="C65" s="23">
        <v>0</v>
      </c>
      <c r="D65" s="24">
        <f t="shared" si="8"/>
        <v>93913</v>
      </c>
      <c r="E65" s="23">
        <v>0</v>
      </c>
      <c r="F65" s="23">
        <v>0</v>
      </c>
      <c r="G65" s="30">
        <f t="shared" si="9"/>
        <v>0</v>
      </c>
      <c r="H65" s="31">
        <f t="shared" si="10"/>
        <v>93913</v>
      </c>
    </row>
    <row r="66" spans="1:8" s="8" customFormat="1" ht="20.149999999999999" customHeight="1" x14ac:dyDescent="0.25">
      <c r="A66" s="50" t="s">
        <v>116</v>
      </c>
      <c r="B66" s="23">
        <v>10957</v>
      </c>
      <c r="C66" s="23">
        <v>0</v>
      </c>
      <c r="D66" s="24">
        <f t="shared" si="8"/>
        <v>10957</v>
      </c>
      <c r="E66" s="23">
        <v>2618</v>
      </c>
      <c r="F66" s="23">
        <v>0</v>
      </c>
      <c r="G66" s="30">
        <f t="shared" si="9"/>
        <v>2618</v>
      </c>
      <c r="H66" s="31">
        <f t="shared" si="10"/>
        <v>13575</v>
      </c>
    </row>
    <row r="67" spans="1:8" s="8" customFormat="1" ht="20.149999999999999" customHeight="1" x14ac:dyDescent="0.25">
      <c r="A67" s="49" t="s">
        <v>43</v>
      </c>
      <c r="B67" s="23">
        <v>0</v>
      </c>
      <c r="C67" s="23">
        <v>0</v>
      </c>
      <c r="D67" s="24">
        <f t="shared" si="8"/>
        <v>0</v>
      </c>
      <c r="E67" s="23">
        <v>0</v>
      </c>
      <c r="F67" s="23">
        <v>0</v>
      </c>
      <c r="G67" s="30">
        <f t="shared" si="9"/>
        <v>0</v>
      </c>
      <c r="H67" s="31">
        <f t="shared" si="10"/>
        <v>0</v>
      </c>
    </row>
    <row r="68" spans="1:8" s="8" customFormat="1" ht="20.149999999999999" customHeight="1" thickBot="1" x14ac:dyDescent="0.3">
      <c r="A68" s="27" t="s">
        <v>16</v>
      </c>
      <c r="B68" s="28">
        <f t="shared" ref="B68:H68" si="11">SUM(B52:B67)</f>
        <v>505670</v>
      </c>
      <c r="C68" s="28">
        <f t="shared" si="11"/>
        <v>79113</v>
      </c>
      <c r="D68" s="28">
        <f t="shared" si="11"/>
        <v>584783</v>
      </c>
      <c r="E68" s="28">
        <f t="shared" si="11"/>
        <v>1009697</v>
      </c>
      <c r="F68" s="28">
        <f t="shared" si="11"/>
        <v>11929</v>
      </c>
      <c r="G68" s="28">
        <f t="shared" si="11"/>
        <v>1021626</v>
      </c>
      <c r="H68" s="28">
        <f t="shared" si="11"/>
        <v>1606409</v>
      </c>
    </row>
    <row r="69" spans="1:8" s="20" customFormat="1" ht="20.149999999999999" customHeight="1" thickBot="1" x14ac:dyDescent="0.3">
      <c r="A69" s="380"/>
      <c r="B69" s="381"/>
      <c r="C69" s="381"/>
      <c r="D69" s="381"/>
      <c r="E69" s="381"/>
      <c r="F69" s="381"/>
      <c r="G69" s="381"/>
      <c r="H69" s="381"/>
    </row>
    <row r="70" spans="1:8" s="20" customFormat="1" ht="20.149999999999999" customHeight="1" x14ac:dyDescent="0.25">
      <c r="A70" s="389" t="s">
        <v>28</v>
      </c>
      <c r="B70" s="390"/>
      <c r="C70" s="390"/>
      <c r="D70" s="390"/>
      <c r="E70" s="390"/>
      <c r="F70" s="390"/>
      <c r="G70" s="390"/>
      <c r="H70" s="391"/>
    </row>
    <row r="71" spans="1:8" s="8" customFormat="1" ht="20.149999999999999" customHeight="1" x14ac:dyDescent="0.25">
      <c r="A71" s="384" t="s">
        <v>14</v>
      </c>
      <c r="B71" s="358" t="s">
        <v>29</v>
      </c>
      <c r="C71" s="358"/>
      <c r="D71" s="358"/>
      <c r="E71" s="358" t="s">
        <v>30</v>
      </c>
      <c r="F71" s="358"/>
      <c r="G71" s="358"/>
      <c r="H71" s="379" t="s">
        <v>16</v>
      </c>
    </row>
    <row r="72" spans="1:8" s="8" customFormat="1" ht="20.149999999999999" customHeight="1" thickBot="1" x14ac:dyDescent="0.3">
      <c r="A72" s="385"/>
      <c r="B72" s="46" t="s">
        <v>44</v>
      </c>
      <c r="C72" s="46" t="s">
        <v>45</v>
      </c>
      <c r="D72" s="46" t="s">
        <v>16</v>
      </c>
      <c r="E72" s="46" t="s">
        <v>44</v>
      </c>
      <c r="F72" s="46" t="s">
        <v>45</v>
      </c>
      <c r="G72" s="46" t="s">
        <v>16</v>
      </c>
      <c r="H72" s="379"/>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12">B75+C75</f>
        <v>0</v>
      </c>
      <c r="E75" s="23">
        <v>995829</v>
      </c>
      <c r="F75" s="23">
        <v>0</v>
      </c>
      <c r="G75" s="30">
        <f t="shared" ref="G75:G88" si="13">E75+F75</f>
        <v>995829</v>
      </c>
      <c r="H75" s="31">
        <f t="shared" ref="H75:H88" si="14">SUM(D75,G75)</f>
        <v>995829</v>
      </c>
    </row>
    <row r="76" spans="1:8" s="8" customFormat="1" ht="20.149999999999999" customHeight="1" x14ac:dyDescent="0.25">
      <c r="A76" s="49" t="s">
        <v>34</v>
      </c>
      <c r="B76" s="23">
        <v>0</v>
      </c>
      <c r="C76" s="23">
        <v>0</v>
      </c>
      <c r="D76" s="24">
        <f t="shared" si="12"/>
        <v>0</v>
      </c>
      <c r="E76" s="23">
        <v>21416</v>
      </c>
      <c r="F76" s="23">
        <v>0</v>
      </c>
      <c r="G76" s="30">
        <f t="shared" si="13"/>
        <v>21416</v>
      </c>
      <c r="H76" s="31">
        <f t="shared" si="14"/>
        <v>21416</v>
      </c>
    </row>
    <row r="77" spans="1:8" s="8" customFormat="1" ht="20.149999999999999" customHeight="1" x14ac:dyDescent="0.25">
      <c r="A77" s="41" t="s">
        <v>95</v>
      </c>
      <c r="B77" s="23">
        <v>0</v>
      </c>
      <c r="C77" s="23">
        <v>0</v>
      </c>
      <c r="D77" s="24">
        <f t="shared" si="12"/>
        <v>0</v>
      </c>
      <c r="E77" s="23">
        <v>0</v>
      </c>
      <c r="F77" s="23">
        <v>0</v>
      </c>
      <c r="G77" s="30">
        <f t="shared" si="13"/>
        <v>0</v>
      </c>
      <c r="H77" s="31">
        <f t="shared" si="14"/>
        <v>0</v>
      </c>
    </row>
    <row r="78" spans="1:8" s="8" customFormat="1" ht="20.149999999999999" customHeight="1" x14ac:dyDescent="0.25">
      <c r="A78" s="49" t="s">
        <v>35</v>
      </c>
      <c r="B78" s="23">
        <v>0</v>
      </c>
      <c r="C78" s="23">
        <v>0</v>
      </c>
      <c r="D78" s="24">
        <f t="shared" si="12"/>
        <v>0</v>
      </c>
      <c r="E78" s="23">
        <v>0</v>
      </c>
      <c r="F78" s="23">
        <v>0</v>
      </c>
      <c r="G78" s="30">
        <f t="shared" si="13"/>
        <v>0</v>
      </c>
      <c r="H78" s="31">
        <f t="shared" si="14"/>
        <v>0</v>
      </c>
    </row>
    <row r="79" spans="1:8" s="8" customFormat="1" ht="20.149999999999999" customHeight="1" x14ac:dyDescent="0.25">
      <c r="A79" s="49" t="s">
        <v>36</v>
      </c>
      <c r="B79" s="23">
        <v>0</v>
      </c>
      <c r="C79" s="23">
        <v>0</v>
      </c>
      <c r="D79" s="24">
        <f t="shared" si="12"/>
        <v>0</v>
      </c>
      <c r="E79" s="23">
        <v>0</v>
      </c>
      <c r="F79" s="23">
        <v>0</v>
      </c>
      <c r="G79" s="30">
        <f t="shared" si="13"/>
        <v>0</v>
      </c>
      <c r="H79" s="31">
        <f t="shared" si="14"/>
        <v>0</v>
      </c>
    </row>
    <row r="80" spans="1:8" s="8" customFormat="1" ht="20.149999999999999" customHeight="1" x14ac:dyDescent="0.25">
      <c r="A80" s="49" t="s">
        <v>37</v>
      </c>
      <c r="B80" s="23">
        <v>0</v>
      </c>
      <c r="C80" s="23">
        <v>0</v>
      </c>
      <c r="D80" s="24">
        <f t="shared" si="12"/>
        <v>0</v>
      </c>
      <c r="E80" s="23">
        <v>0</v>
      </c>
      <c r="F80" s="23">
        <v>0</v>
      </c>
      <c r="G80" s="30">
        <f t="shared" si="13"/>
        <v>0</v>
      </c>
      <c r="H80" s="31">
        <f t="shared" si="14"/>
        <v>0</v>
      </c>
    </row>
    <row r="81" spans="1:8" s="8" customFormat="1" ht="20.149999999999999" customHeight="1" x14ac:dyDescent="0.25">
      <c r="A81" s="49" t="s">
        <v>15</v>
      </c>
      <c r="B81" s="23">
        <v>0</v>
      </c>
      <c r="C81" s="23">
        <v>0</v>
      </c>
      <c r="D81" s="24">
        <f t="shared" si="12"/>
        <v>0</v>
      </c>
      <c r="E81" s="23">
        <v>0</v>
      </c>
      <c r="F81" s="23">
        <v>0</v>
      </c>
      <c r="G81" s="30">
        <f t="shared" si="13"/>
        <v>0</v>
      </c>
      <c r="H81" s="31">
        <f t="shared" si="14"/>
        <v>0</v>
      </c>
    </row>
    <row r="82" spans="1:8" s="8" customFormat="1" ht="20.149999999999999" customHeight="1" x14ac:dyDescent="0.25">
      <c r="A82" s="49" t="s">
        <v>38</v>
      </c>
      <c r="B82" s="23">
        <v>0</v>
      </c>
      <c r="C82" s="23">
        <v>0</v>
      </c>
      <c r="D82" s="24">
        <f t="shared" si="12"/>
        <v>0</v>
      </c>
      <c r="E82" s="23">
        <v>0</v>
      </c>
      <c r="F82" s="23">
        <v>0</v>
      </c>
      <c r="G82" s="30">
        <f t="shared" si="13"/>
        <v>0</v>
      </c>
      <c r="H82" s="31">
        <f t="shared" si="14"/>
        <v>0</v>
      </c>
    </row>
    <row r="83" spans="1:8" s="8" customFormat="1" ht="20.149999999999999" customHeight="1" x14ac:dyDescent="0.25">
      <c r="A83" s="49" t="s">
        <v>39</v>
      </c>
      <c r="B83" s="23">
        <v>0</v>
      </c>
      <c r="C83" s="23">
        <v>0</v>
      </c>
      <c r="D83" s="24">
        <f t="shared" si="12"/>
        <v>0</v>
      </c>
      <c r="E83" s="23">
        <v>0</v>
      </c>
      <c r="F83" s="23">
        <v>0</v>
      </c>
      <c r="G83" s="30">
        <f t="shared" si="13"/>
        <v>0</v>
      </c>
      <c r="H83" s="31">
        <f t="shared" si="14"/>
        <v>0</v>
      </c>
    </row>
    <row r="84" spans="1:8" s="8" customFormat="1" ht="20.149999999999999" customHeight="1" x14ac:dyDescent="0.25">
      <c r="A84" s="49" t="s">
        <v>40</v>
      </c>
      <c r="B84" s="23">
        <v>46384</v>
      </c>
      <c r="C84" s="23">
        <v>0</v>
      </c>
      <c r="D84" s="24">
        <f t="shared" si="12"/>
        <v>46384</v>
      </c>
      <c r="E84" s="23">
        <v>0</v>
      </c>
      <c r="F84" s="23">
        <v>0</v>
      </c>
      <c r="G84" s="30">
        <f t="shared" si="13"/>
        <v>0</v>
      </c>
      <c r="H84" s="31">
        <f t="shared" si="14"/>
        <v>46384</v>
      </c>
    </row>
    <row r="85" spans="1:8" s="8" customFormat="1" ht="20.149999999999999" customHeight="1" x14ac:dyDescent="0.25">
      <c r="A85" s="49" t="s">
        <v>41</v>
      </c>
      <c r="B85" s="23">
        <v>0</v>
      </c>
      <c r="C85" s="23">
        <v>0</v>
      </c>
      <c r="D85" s="24">
        <f t="shared" si="12"/>
        <v>0</v>
      </c>
      <c r="E85" s="23">
        <v>0</v>
      </c>
      <c r="F85" s="23">
        <v>0</v>
      </c>
      <c r="G85" s="30">
        <f t="shared" si="13"/>
        <v>0</v>
      </c>
      <c r="H85" s="31">
        <f t="shared" si="14"/>
        <v>0</v>
      </c>
    </row>
    <row r="86" spans="1:8" s="8" customFormat="1" ht="20.149999999999999" customHeight="1" x14ac:dyDescent="0.25">
      <c r="A86" s="49" t="s">
        <v>42</v>
      </c>
      <c r="B86" s="23">
        <v>97670</v>
      </c>
      <c r="C86" s="23">
        <v>0</v>
      </c>
      <c r="D86" s="24">
        <f t="shared" si="12"/>
        <v>97670</v>
      </c>
      <c r="E86" s="23">
        <v>0</v>
      </c>
      <c r="F86" s="23">
        <v>0</v>
      </c>
      <c r="G86" s="30">
        <f t="shared" si="13"/>
        <v>0</v>
      </c>
      <c r="H86" s="31">
        <f t="shared" si="14"/>
        <v>97670</v>
      </c>
    </row>
    <row r="87" spans="1:8" s="8" customFormat="1" ht="20.149999999999999" customHeight="1" x14ac:dyDescent="0.25">
      <c r="A87" s="50" t="s">
        <v>116</v>
      </c>
      <c r="B87" s="23">
        <v>11396</v>
      </c>
      <c r="C87" s="23">
        <v>0</v>
      </c>
      <c r="D87" s="24">
        <f t="shared" si="12"/>
        <v>11396</v>
      </c>
      <c r="E87" s="23">
        <v>2722</v>
      </c>
      <c r="F87" s="23">
        <v>0</v>
      </c>
      <c r="G87" s="30">
        <f t="shared" si="13"/>
        <v>2722</v>
      </c>
      <c r="H87" s="31">
        <f t="shared" si="14"/>
        <v>14118</v>
      </c>
    </row>
    <row r="88" spans="1:8" s="8" customFormat="1" ht="20.149999999999999" customHeight="1" x14ac:dyDescent="0.25">
      <c r="A88" s="49" t="s">
        <v>43</v>
      </c>
      <c r="B88" s="23">
        <v>0</v>
      </c>
      <c r="C88" s="23">
        <v>0</v>
      </c>
      <c r="D88" s="24">
        <f t="shared" si="12"/>
        <v>0</v>
      </c>
      <c r="E88" s="23">
        <v>0</v>
      </c>
      <c r="F88" s="23">
        <v>0</v>
      </c>
      <c r="G88" s="30">
        <f t="shared" si="13"/>
        <v>0</v>
      </c>
      <c r="H88" s="31">
        <f t="shared" si="14"/>
        <v>0</v>
      </c>
    </row>
    <row r="89" spans="1:8" s="8" customFormat="1" ht="20.149999999999999" customHeight="1" thickBot="1" x14ac:dyDescent="0.3">
      <c r="A89" s="27" t="s">
        <v>16</v>
      </c>
      <c r="B89" s="28">
        <f t="shared" ref="B89:H89" si="15">SUM(B73:B88)</f>
        <v>525898</v>
      </c>
      <c r="C89" s="28">
        <f t="shared" si="15"/>
        <v>82277</v>
      </c>
      <c r="D89" s="28">
        <f t="shared" si="15"/>
        <v>608175</v>
      </c>
      <c r="E89" s="28">
        <f t="shared" si="15"/>
        <v>1050084</v>
      </c>
      <c r="F89" s="28">
        <f t="shared" si="15"/>
        <v>12406</v>
      </c>
      <c r="G89" s="28">
        <f t="shared" si="15"/>
        <v>1062490</v>
      </c>
      <c r="H89" s="28">
        <f t="shared" si="15"/>
        <v>1670665</v>
      </c>
    </row>
    <row r="90" spans="1:8" s="20" customFormat="1" ht="20.149999999999999" customHeight="1" thickBot="1" x14ac:dyDescent="0.3">
      <c r="A90" s="380"/>
      <c r="B90" s="381"/>
      <c r="C90" s="381"/>
      <c r="D90" s="381"/>
      <c r="E90" s="381"/>
      <c r="F90" s="381"/>
      <c r="G90" s="381"/>
      <c r="H90" s="381"/>
    </row>
    <row r="91" spans="1:8" s="20" customFormat="1" ht="20.149999999999999" customHeight="1" x14ac:dyDescent="0.25">
      <c r="A91" s="389" t="s">
        <v>46</v>
      </c>
      <c r="B91" s="390"/>
      <c r="C91" s="390"/>
      <c r="D91" s="390"/>
      <c r="E91" s="390"/>
      <c r="F91" s="390"/>
      <c r="G91" s="390"/>
      <c r="H91" s="391"/>
    </row>
    <row r="92" spans="1:8" s="8" customFormat="1" ht="20.149999999999999" customHeight="1" x14ac:dyDescent="0.25">
      <c r="A92" s="377" t="s">
        <v>14</v>
      </c>
      <c r="B92" s="358" t="s">
        <v>29</v>
      </c>
      <c r="C92" s="358"/>
      <c r="D92" s="358"/>
      <c r="E92" s="358" t="s">
        <v>30</v>
      </c>
      <c r="F92" s="358"/>
      <c r="G92" s="358"/>
      <c r="H92" s="379" t="s">
        <v>16</v>
      </c>
    </row>
    <row r="93" spans="1:8" s="8" customFormat="1" ht="20.149999999999999" customHeight="1" x14ac:dyDescent="0.25">
      <c r="A93" s="419"/>
      <c r="B93" s="46" t="s">
        <v>44</v>
      </c>
      <c r="C93" s="46" t="s">
        <v>45</v>
      </c>
      <c r="D93" s="46" t="s">
        <v>16</v>
      </c>
      <c r="E93" s="46" t="s">
        <v>44</v>
      </c>
      <c r="F93" s="46" t="s">
        <v>45</v>
      </c>
      <c r="G93" s="46" t="s">
        <v>16</v>
      </c>
      <c r="H93" s="379"/>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16">B96+C96</f>
        <v>0</v>
      </c>
      <c r="E96" s="23">
        <v>1035662</v>
      </c>
      <c r="F96" s="23">
        <v>0</v>
      </c>
      <c r="G96" s="30">
        <f t="shared" ref="G96:G109" si="17">E96+F96</f>
        <v>1035662</v>
      </c>
      <c r="H96" s="31">
        <f t="shared" ref="H96:H109" si="18">SUM(D96,G96)</f>
        <v>1035662</v>
      </c>
    </row>
    <row r="97" spans="1:8" s="8" customFormat="1" ht="20.149999999999999" customHeight="1" x14ac:dyDescent="0.25">
      <c r="A97" s="49" t="s">
        <v>34</v>
      </c>
      <c r="B97" s="23">
        <v>0</v>
      </c>
      <c r="C97" s="23">
        <v>0</v>
      </c>
      <c r="D97" s="24">
        <f t="shared" si="16"/>
        <v>0</v>
      </c>
      <c r="E97" s="23">
        <v>22272</v>
      </c>
      <c r="F97" s="23">
        <v>0</v>
      </c>
      <c r="G97" s="30">
        <f t="shared" si="17"/>
        <v>22272</v>
      </c>
      <c r="H97" s="31">
        <f t="shared" si="18"/>
        <v>22272</v>
      </c>
    </row>
    <row r="98" spans="1:8" s="8" customFormat="1" ht="20.149999999999999" customHeight="1" x14ac:dyDescent="0.25">
      <c r="A98" s="41" t="s">
        <v>95</v>
      </c>
      <c r="B98" s="23">
        <v>0</v>
      </c>
      <c r="C98" s="23">
        <v>0</v>
      </c>
      <c r="D98" s="24">
        <f t="shared" si="16"/>
        <v>0</v>
      </c>
      <c r="E98" s="23">
        <v>0</v>
      </c>
      <c r="F98" s="23">
        <v>0</v>
      </c>
      <c r="G98" s="30">
        <f t="shared" si="17"/>
        <v>0</v>
      </c>
      <c r="H98" s="31">
        <f t="shared" si="18"/>
        <v>0</v>
      </c>
    </row>
    <row r="99" spans="1:8" s="8" customFormat="1" ht="20.149999999999999" customHeight="1" x14ac:dyDescent="0.25">
      <c r="A99" s="49" t="s">
        <v>35</v>
      </c>
      <c r="B99" s="23">
        <v>0</v>
      </c>
      <c r="C99" s="23">
        <v>0</v>
      </c>
      <c r="D99" s="24">
        <f t="shared" si="16"/>
        <v>0</v>
      </c>
      <c r="E99" s="23">
        <v>0</v>
      </c>
      <c r="F99" s="23">
        <v>0</v>
      </c>
      <c r="G99" s="30">
        <f t="shared" si="17"/>
        <v>0</v>
      </c>
      <c r="H99" s="31">
        <f t="shared" si="18"/>
        <v>0</v>
      </c>
    </row>
    <row r="100" spans="1:8" s="8" customFormat="1" ht="20.149999999999999" customHeight="1" x14ac:dyDescent="0.25">
      <c r="A100" s="49" t="s">
        <v>36</v>
      </c>
      <c r="B100" s="23">
        <v>0</v>
      </c>
      <c r="C100" s="23">
        <v>0</v>
      </c>
      <c r="D100" s="24">
        <f t="shared" si="16"/>
        <v>0</v>
      </c>
      <c r="E100" s="23">
        <v>0</v>
      </c>
      <c r="F100" s="23">
        <v>0</v>
      </c>
      <c r="G100" s="30">
        <f t="shared" si="17"/>
        <v>0</v>
      </c>
      <c r="H100" s="31">
        <f t="shared" si="18"/>
        <v>0</v>
      </c>
    </row>
    <row r="101" spans="1:8" s="8" customFormat="1" ht="20.149999999999999" customHeight="1" x14ac:dyDescent="0.25">
      <c r="A101" s="49" t="s">
        <v>37</v>
      </c>
      <c r="B101" s="23">
        <v>0</v>
      </c>
      <c r="C101" s="23">
        <v>0</v>
      </c>
      <c r="D101" s="24">
        <f t="shared" si="16"/>
        <v>0</v>
      </c>
      <c r="E101" s="23">
        <v>0</v>
      </c>
      <c r="F101" s="23">
        <v>0</v>
      </c>
      <c r="G101" s="30">
        <f t="shared" si="17"/>
        <v>0</v>
      </c>
      <c r="H101" s="31">
        <f t="shared" si="18"/>
        <v>0</v>
      </c>
    </row>
    <row r="102" spans="1:8" s="8" customFormat="1" ht="20.149999999999999" customHeight="1" x14ac:dyDescent="0.25">
      <c r="A102" s="49" t="s">
        <v>15</v>
      </c>
      <c r="B102" s="23">
        <v>0</v>
      </c>
      <c r="C102" s="23">
        <v>0</v>
      </c>
      <c r="D102" s="24">
        <f t="shared" si="16"/>
        <v>0</v>
      </c>
      <c r="E102" s="23">
        <v>0</v>
      </c>
      <c r="F102" s="23">
        <v>0</v>
      </c>
      <c r="G102" s="30">
        <f t="shared" si="17"/>
        <v>0</v>
      </c>
      <c r="H102" s="31">
        <f t="shared" si="18"/>
        <v>0</v>
      </c>
    </row>
    <row r="103" spans="1:8" s="8" customFormat="1" ht="20.149999999999999" customHeight="1" x14ac:dyDescent="0.25">
      <c r="A103" s="49" t="s">
        <v>38</v>
      </c>
      <c r="B103" s="23">
        <v>0</v>
      </c>
      <c r="C103" s="23">
        <v>0</v>
      </c>
      <c r="D103" s="24">
        <f t="shared" si="16"/>
        <v>0</v>
      </c>
      <c r="E103" s="23">
        <v>0</v>
      </c>
      <c r="F103" s="23">
        <v>0</v>
      </c>
      <c r="G103" s="30">
        <f t="shared" si="17"/>
        <v>0</v>
      </c>
      <c r="H103" s="31">
        <f t="shared" si="18"/>
        <v>0</v>
      </c>
    </row>
    <row r="104" spans="1:8" s="8" customFormat="1" ht="20.149999999999999" customHeight="1" x14ac:dyDescent="0.25">
      <c r="A104" s="49" t="s">
        <v>39</v>
      </c>
      <c r="B104" s="23">
        <v>0</v>
      </c>
      <c r="C104" s="23">
        <v>0</v>
      </c>
      <c r="D104" s="24">
        <f t="shared" si="16"/>
        <v>0</v>
      </c>
      <c r="E104" s="23">
        <v>0</v>
      </c>
      <c r="F104" s="23">
        <v>0</v>
      </c>
      <c r="G104" s="30">
        <f t="shared" si="17"/>
        <v>0</v>
      </c>
      <c r="H104" s="31">
        <f t="shared" si="18"/>
        <v>0</v>
      </c>
    </row>
    <row r="105" spans="1:8" s="8" customFormat="1" ht="20.149999999999999" customHeight="1" x14ac:dyDescent="0.25">
      <c r="A105" s="49" t="s">
        <v>40</v>
      </c>
      <c r="B105" s="23">
        <v>48240</v>
      </c>
      <c r="C105" s="23">
        <v>0</v>
      </c>
      <c r="D105" s="24">
        <f t="shared" si="16"/>
        <v>48240</v>
      </c>
      <c r="E105" s="23">
        <v>0</v>
      </c>
      <c r="F105" s="23">
        <v>0</v>
      </c>
      <c r="G105" s="30">
        <f t="shared" si="17"/>
        <v>0</v>
      </c>
      <c r="H105" s="31">
        <f t="shared" si="18"/>
        <v>48240</v>
      </c>
    </row>
    <row r="106" spans="1:8" s="8" customFormat="1" ht="20.149999999999999" customHeight="1" x14ac:dyDescent="0.25">
      <c r="A106" s="49" t="s">
        <v>41</v>
      </c>
      <c r="B106" s="23">
        <v>0</v>
      </c>
      <c r="C106" s="23">
        <v>0</v>
      </c>
      <c r="D106" s="24">
        <f t="shared" si="16"/>
        <v>0</v>
      </c>
      <c r="E106" s="23">
        <v>0</v>
      </c>
      <c r="F106" s="23">
        <v>0</v>
      </c>
      <c r="G106" s="30">
        <f t="shared" si="17"/>
        <v>0</v>
      </c>
      <c r="H106" s="31">
        <f t="shared" si="18"/>
        <v>0</v>
      </c>
    </row>
    <row r="107" spans="1:8" s="8" customFormat="1" ht="20.149999999999999" customHeight="1" x14ac:dyDescent="0.25">
      <c r="A107" s="49" t="s">
        <v>42</v>
      </c>
      <c r="B107" s="23">
        <v>101576</v>
      </c>
      <c r="C107" s="23">
        <v>0</v>
      </c>
      <c r="D107" s="24">
        <f t="shared" si="16"/>
        <v>101576</v>
      </c>
      <c r="E107" s="23">
        <v>0</v>
      </c>
      <c r="F107" s="23">
        <v>0</v>
      </c>
      <c r="G107" s="30">
        <f t="shared" si="17"/>
        <v>0</v>
      </c>
      <c r="H107" s="31">
        <f t="shared" si="18"/>
        <v>101576</v>
      </c>
    </row>
    <row r="108" spans="1:8" s="8" customFormat="1" ht="20.149999999999999" customHeight="1" x14ac:dyDescent="0.25">
      <c r="A108" s="50" t="s">
        <v>116</v>
      </c>
      <c r="B108" s="23">
        <v>11852</v>
      </c>
      <c r="C108" s="23">
        <v>0</v>
      </c>
      <c r="D108" s="24">
        <f t="shared" si="16"/>
        <v>11852</v>
      </c>
      <c r="E108" s="23">
        <v>2831</v>
      </c>
      <c r="F108" s="23">
        <v>0</v>
      </c>
      <c r="G108" s="30">
        <f t="shared" si="17"/>
        <v>2831</v>
      </c>
      <c r="H108" s="31">
        <f t="shared" si="18"/>
        <v>14683</v>
      </c>
    </row>
    <row r="109" spans="1:8" s="8" customFormat="1" ht="20.149999999999999" customHeight="1" x14ac:dyDescent="0.25">
      <c r="A109" s="49" t="s">
        <v>43</v>
      </c>
      <c r="B109" s="23">
        <v>0</v>
      </c>
      <c r="C109" s="23">
        <v>0</v>
      </c>
      <c r="D109" s="24">
        <f t="shared" si="16"/>
        <v>0</v>
      </c>
      <c r="E109" s="23">
        <v>0</v>
      </c>
      <c r="F109" s="23">
        <v>0</v>
      </c>
      <c r="G109" s="30">
        <f t="shared" si="17"/>
        <v>0</v>
      </c>
      <c r="H109" s="31">
        <f t="shared" si="18"/>
        <v>0</v>
      </c>
    </row>
    <row r="110" spans="1:8" s="8" customFormat="1" ht="20.149999999999999" customHeight="1" thickBot="1" x14ac:dyDescent="0.3">
      <c r="A110" s="27" t="s">
        <v>16</v>
      </c>
      <c r="B110" s="28">
        <f t="shared" ref="B110:H110" si="19">SUM(B94:B109)</f>
        <v>546934</v>
      </c>
      <c r="C110" s="28">
        <f t="shared" si="19"/>
        <v>85568</v>
      </c>
      <c r="D110" s="28">
        <f t="shared" si="19"/>
        <v>632502</v>
      </c>
      <c r="E110" s="28">
        <f t="shared" si="19"/>
        <v>1092087</v>
      </c>
      <c r="F110" s="28">
        <f t="shared" si="19"/>
        <v>12902</v>
      </c>
      <c r="G110" s="28">
        <f t="shared" si="19"/>
        <v>1104989</v>
      </c>
      <c r="H110" s="28">
        <f t="shared" si="19"/>
        <v>1737491</v>
      </c>
    </row>
    <row r="111" spans="1:8" ht="20.149999999999999" customHeight="1" x14ac:dyDescent="0.25"/>
    <row r="112" spans="1:8" ht="20.149999999999999" customHeight="1" thickBot="1" x14ac:dyDescent="0.3"/>
    <row r="113" spans="1:14" s="8" customFormat="1" ht="20.149999999999999" customHeight="1" thickBot="1" x14ac:dyDescent="0.3">
      <c r="A113" s="365" t="s">
        <v>14</v>
      </c>
      <c r="B113" s="366"/>
      <c r="C113" s="366"/>
      <c r="D113" s="367"/>
      <c r="E113" s="33" t="s">
        <v>92</v>
      </c>
      <c r="F113" s="371" t="s">
        <v>47</v>
      </c>
      <c r="G113" s="372"/>
      <c r="H113" s="373"/>
    </row>
    <row r="114" spans="1:14" s="8" customFormat="1" ht="20.149999999999999" customHeight="1" x14ac:dyDescent="0.25">
      <c r="A114" s="368" t="s">
        <v>76</v>
      </c>
      <c r="B114" s="369"/>
      <c r="C114" s="369"/>
      <c r="D114" s="370"/>
      <c r="E114" s="39" t="s">
        <v>93</v>
      </c>
      <c r="F114" s="354" t="s">
        <v>91</v>
      </c>
      <c r="G114" s="355"/>
      <c r="H114" s="356"/>
    </row>
    <row r="115" spans="1:14" s="8" customFormat="1" ht="20.149999999999999" customHeight="1" x14ac:dyDescent="0.25">
      <c r="A115" s="362" t="s">
        <v>32</v>
      </c>
      <c r="B115" s="363"/>
      <c r="C115" s="363"/>
      <c r="D115" s="364"/>
      <c r="E115" s="39" t="s">
        <v>77</v>
      </c>
      <c r="F115" s="416" t="s">
        <v>48</v>
      </c>
      <c r="G115" s="417"/>
      <c r="H115" s="418"/>
      <c r="J115" s="34"/>
      <c r="K115" s="357"/>
      <c r="L115" s="357"/>
      <c r="M115" s="357"/>
      <c r="N115" s="357"/>
    </row>
    <row r="116" spans="1:14" s="8" customFormat="1" ht="20.149999999999999" customHeight="1" x14ac:dyDescent="0.25">
      <c r="A116" s="359" t="s">
        <v>33</v>
      </c>
      <c r="B116" s="360"/>
      <c r="C116" s="360"/>
      <c r="D116" s="361"/>
      <c r="E116" s="39" t="s">
        <v>78</v>
      </c>
      <c r="F116" s="404" t="s">
        <v>49</v>
      </c>
      <c r="G116" s="405"/>
      <c r="H116" s="406"/>
      <c r="J116" s="34"/>
      <c r="K116" s="35"/>
      <c r="L116" s="35"/>
      <c r="M116" s="35"/>
      <c r="N116" s="35"/>
    </row>
    <row r="117" spans="1:14" s="8" customFormat="1" ht="20.149999999999999" customHeight="1" x14ac:dyDescent="0.25">
      <c r="A117" s="359" t="s">
        <v>34</v>
      </c>
      <c r="B117" s="360"/>
      <c r="C117" s="360"/>
      <c r="D117" s="361"/>
      <c r="E117" s="39" t="s">
        <v>79</v>
      </c>
      <c r="F117" s="404" t="s">
        <v>50</v>
      </c>
      <c r="G117" s="405"/>
      <c r="H117" s="406"/>
      <c r="J117" s="34"/>
      <c r="K117" s="35"/>
      <c r="L117" s="35"/>
      <c r="M117" s="35"/>
      <c r="N117" s="35"/>
    </row>
    <row r="118" spans="1:14" s="8" customFormat="1" ht="20.149999999999999" customHeight="1" x14ac:dyDescent="0.25">
      <c r="A118" s="348" t="s">
        <v>95</v>
      </c>
      <c r="B118" s="349"/>
      <c r="C118" s="349"/>
      <c r="D118" s="350"/>
      <c r="E118" s="39" t="s">
        <v>96</v>
      </c>
      <c r="F118" s="351" t="s">
        <v>97</v>
      </c>
      <c r="G118" s="352"/>
      <c r="H118" s="353"/>
      <c r="J118" s="34"/>
      <c r="K118" s="35"/>
      <c r="L118" s="35"/>
      <c r="M118" s="35"/>
      <c r="N118" s="35"/>
    </row>
    <row r="119" spans="1:14" s="8" customFormat="1" ht="20.149999999999999" customHeight="1" x14ac:dyDescent="0.25">
      <c r="A119" s="359" t="s">
        <v>35</v>
      </c>
      <c r="B119" s="360"/>
      <c r="C119" s="360"/>
      <c r="D119" s="361"/>
      <c r="E119" s="39" t="s">
        <v>80</v>
      </c>
      <c r="F119" s="404" t="s">
        <v>51</v>
      </c>
      <c r="G119" s="405"/>
      <c r="H119" s="406"/>
      <c r="J119" s="34"/>
      <c r="K119" s="35"/>
      <c r="L119" s="35"/>
      <c r="M119" s="35"/>
      <c r="N119" s="35"/>
    </row>
    <row r="120" spans="1:14" s="8" customFormat="1" ht="20.149999999999999" customHeight="1" x14ac:dyDescent="0.25">
      <c r="A120" s="359" t="s">
        <v>36</v>
      </c>
      <c r="B120" s="360"/>
      <c r="C120" s="360"/>
      <c r="D120" s="361"/>
      <c r="E120" s="39" t="s">
        <v>81</v>
      </c>
      <c r="F120" s="404" t="s">
        <v>52</v>
      </c>
      <c r="G120" s="405"/>
      <c r="H120" s="406"/>
      <c r="J120" s="34"/>
      <c r="K120" s="35"/>
      <c r="L120" s="35"/>
      <c r="M120" s="35"/>
      <c r="N120" s="35"/>
    </row>
    <row r="121" spans="1:14" s="8" customFormat="1" ht="20.149999999999999" customHeight="1" x14ac:dyDescent="0.25">
      <c r="A121" s="359" t="s">
        <v>37</v>
      </c>
      <c r="B121" s="360"/>
      <c r="C121" s="360"/>
      <c r="D121" s="361"/>
      <c r="E121" s="39" t="s">
        <v>82</v>
      </c>
      <c r="F121" s="404" t="s">
        <v>53</v>
      </c>
      <c r="G121" s="405"/>
      <c r="H121" s="406"/>
      <c r="J121" s="34"/>
      <c r="K121" s="35"/>
      <c r="L121" s="35"/>
      <c r="M121" s="35"/>
      <c r="N121" s="35"/>
    </row>
    <row r="122" spans="1:14" s="8" customFormat="1" ht="20.149999999999999" customHeight="1" x14ac:dyDescent="0.25">
      <c r="A122" s="359" t="s">
        <v>15</v>
      </c>
      <c r="B122" s="360"/>
      <c r="C122" s="360"/>
      <c r="D122" s="361"/>
      <c r="E122" s="39" t="s">
        <v>83</v>
      </c>
      <c r="F122" s="404" t="s">
        <v>54</v>
      </c>
      <c r="G122" s="405"/>
      <c r="H122" s="406"/>
      <c r="J122" s="34"/>
      <c r="K122" s="35"/>
      <c r="L122" s="35"/>
      <c r="M122" s="35"/>
      <c r="N122" s="35"/>
    </row>
    <row r="123" spans="1:14" s="8" customFormat="1" ht="20.149999999999999" customHeight="1" x14ac:dyDescent="0.25">
      <c r="A123" s="359" t="s">
        <v>55</v>
      </c>
      <c r="B123" s="360"/>
      <c r="C123" s="360"/>
      <c r="D123" s="361"/>
      <c r="E123" s="40"/>
      <c r="F123" s="413"/>
      <c r="G123" s="414"/>
      <c r="H123" s="415"/>
      <c r="J123" s="34"/>
      <c r="K123" s="35"/>
      <c r="L123" s="35"/>
      <c r="M123" s="35"/>
      <c r="N123" s="35"/>
    </row>
    <row r="124" spans="1:14" s="8" customFormat="1" ht="20.149999999999999" customHeight="1" x14ac:dyDescent="0.25">
      <c r="A124" s="392" t="s">
        <v>56</v>
      </c>
      <c r="B124" s="393"/>
      <c r="C124" s="393"/>
      <c r="D124" s="394"/>
      <c r="E124" s="39" t="s">
        <v>84</v>
      </c>
      <c r="F124" s="404" t="s">
        <v>57</v>
      </c>
      <c r="G124" s="405"/>
      <c r="H124" s="406"/>
      <c r="J124" s="34"/>
      <c r="K124" s="36"/>
      <c r="L124" s="36"/>
      <c r="M124" s="36"/>
      <c r="N124" s="36"/>
    </row>
    <row r="125" spans="1:14" s="8" customFormat="1" ht="20.149999999999999" customHeight="1" x14ac:dyDescent="0.25">
      <c r="A125" s="392" t="s">
        <v>58</v>
      </c>
      <c r="B125" s="393"/>
      <c r="C125" s="393"/>
      <c r="D125" s="394"/>
      <c r="E125" s="39" t="s">
        <v>85</v>
      </c>
      <c r="F125" s="404" t="s">
        <v>59</v>
      </c>
      <c r="G125" s="405"/>
      <c r="H125" s="406"/>
      <c r="J125" s="34"/>
      <c r="K125" s="36"/>
      <c r="L125" s="36"/>
      <c r="M125" s="36"/>
      <c r="N125" s="36"/>
    </row>
    <row r="126" spans="1:14" s="8" customFormat="1" ht="20.149999999999999" customHeight="1" x14ac:dyDescent="0.25">
      <c r="A126" s="392" t="s">
        <v>60</v>
      </c>
      <c r="B126" s="393"/>
      <c r="C126" s="393"/>
      <c r="D126" s="394"/>
      <c r="E126" s="39" t="s">
        <v>86</v>
      </c>
      <c r="F126" s="404" t="s">
        <v>61</v>
      </c>
      <c r="G126" s="405"/>
      <c r="H126" s="406"/>
      <c r="J126" s="34"/>
      <c r="K126" s="36"/>
      <c r="L126" s="36"/>
      <c r="M126" s="36"/>
      <c r="N126" s="36"/>
    </row>
    <row r="127" spans="1:14" s="8" customFormat="1" ht="20.149999999999999" customHeight="1" x14ac:dyDescent="0.25">
      <c r="A127" s="359" t="s">
        <v>39</v>
      </c>
      <c r="B127" s="360"/>
      <c r="C127" s="360"/>
      <c r="D127" s="361"/>
      <c r="E127" s="40"/>
      <c r="F127" s="410"/>
      <c r="G127" s="411"/>
      <c r="H127" s="412"/>
      <c r="J127" s="34"/>
      <c r="K127" s="35"/>
      <c r="L127" s="35"/>
      <c r="M127" s="35"/>
      <c r="N127" s="35"/>
    </row>
    <row r="128" spans="1:14" s="8" customFormat="1" ht="20.149999999999999" customHeight="1" x14ac:dyDescent="0.25">
      <c r="A128" s="392" t="s">
        <v>62</v>
      </c>
      <c r="B128" s="393"/>
      <c r="C128" s="393"/>
      <c r="D128" s="394"/>
      <c r="E128" s="39" t="s">
        <v>87</v>
      </c>
      <c r="F128" s="404" t="s">
        <v>63</v>
      </c>
      <c r="G128" s="405"/>
      <c r="H128" s="406"/>
      <c r="J128" s="34"/>
      <c r="K128" s="36"/>
      <c r="L128" s="36"/>
      <c r="M128" s="36"/>
      <c r="N128" s="36"/>
    </row>
    <row r="129" spans="1:14" s="8" customFormat="1" ht="20.149999999999999" customHeight="1" x14ac:dyDescent="0.25">
      <c r="A129" s="392" t="s">
        <v>64</v>
      </c>
      <c r="B129" s="393"/>
      <c r="C129" s="393"/>
      <c r="D129" s="394"/>
      <c r="E129" s="39" t="s">
        <v>88</v>
      </c>
      <c r="F129" s="404" t="s">
        <v>65</v>
      </c>
      <c r="G129" s="405"/>
      <c r="H129" s="406"/>
      <c r="J129" s="34"/>
      <c r="K129" s="36"/>
      <c r="L129" s="36"/>
      <c r="M129" s="36"/>
      <c r="N129" s="36"/>
    </row>
    <row r="130" spans="1:14" s="8" customFormat="1" ht="20.149999999999999" customHeight="1" x14ac:dyDescent="0.25">
      <c r="A130" s="392" t="s">
        <v>66</v>
      </c>
      <c r="B130" s="393"/>
      <c r="C130" s="393"/>
      <c r="D130" s="394"/>
      <c r="E130" s="39" t="s">
        <v>89</v>
      </c>
      <c r="F130" s="404" t="s">
        <v>67</v>
      </c>
      <c r="G130" s="405"/>
      <c r="H130" s="406"/>
      <c r="J130" s="34"/>
      <c r="K130" s="36"/>
      <c r="L130" s="36"/>
      <c r="M130" s="36"/>
      <c r="N130" s="36"/>
    </row>
    <row r="131" spans="1:14" s="20" customFormat="1" ht="20.149999999999999" customHeight="1" x14ac:dyDescent="0.25">
      <c r="A131" s="398" t="s">
        <v>68</v>
      </c>
      <c r="B131" s="399"/>
      <c r="C131" s="399"/>
      <c r="D131" s="400"/>
      <c r="E131" s="39" t="s">
        <v>90</v>
      </c>
      <c r="F131" s="407" t="s">
        <v>69</v>
      </c>
      <c r="G131" s="408"/>
      <c r="H131" s="409"/>
      <c r="J131" s="34"/>
      <c r="K131" s="37"/>
      <c r="L131" s="37"/>
      <c r="M131" s="37"/>
      <c r="N131" s="37"/>
    </row>
    <row r="132" spans="1:14" s="8" customFormat="1" ht="20.149999999999999" customHeight="1" x14ac:dyDescent="0.25">
      <c r="A132" s="359" t="s">
        <v>40</v>
      </c>
      <c r="B132" s="360"/>
      <c r="C132" s="360"/>
      <c r="D132" s="361"/>
      <c r="E132" s="39" t="s">
        <v>93</v>
      </c>
      <c r="F132" s="404" t="s">
        <v>70</v>
      </c>
      <c r="G132" s="405"/>
      <c r="H132" s="406"/>
      <c r="J132" s="34"/>
      <c r="K132" s="35"/>
      <c r="L132" s="35"/>
      <c r="M132" s="35"/>
      <c r="N132" s="35"/>
    </row>
    <row r="133" spans="1:14" s="8" customFormat="1" ht="20.149999999999999" customHeight="1" x14ac:dyDescent="0.25">
      <c r="A133" s="359" t="s">
        <v>41</v>
      </c>
      <c r="B133" s="360"/>
      <c r="C133" s="360"/>
      <c r="D133" s="361"/>
      <c r="E133" s="39" t="s">
        <v>93</v>
      </c>
      <c r="F133" s="404" t="s">
        <v>71</v>
      </c>
      <c r="G133" s="405"/>
      <c r="H133" s="406"/>
      <c r="J133" s="34"/>
      <c r="K133" s="35"/>
      <c r="L133" s="35"/>
      <c r="M133" s="35"/>
      <c r="N133" s="35"/>
    </row>
    <row r="134" spans="1:14" s="8" customFormat="1" ht="20.149999999999999" customHeight="1" x14ac:dyDescent="0.25">
      <c r="A134" s="359" t="s">
        <v>42</v>
      </c>
      <c r="B134" s="360"/>
      <c r="C134" s="360"/>
      <c r="D134" s="361"/>
      <c r="E134" s="39" t="s">
        <v>94</v>
      </c>
      <c r="F134" s="404" t="s">
        <v>72</v>
      </c>
      <c r="G134" s="405"/>
      <c r="H134" s="406"/>
      <c r="J134" s="34"/>
      <c r="K134" s="35"/>
      <c r="L134" s="35"/>
      <c r="M134" s="35"/>
      <c r="N134" s="35"/>
    </row>
    <row r="135" spans="1:14" s="8" customFormat="1" ht="20.149999999999999" customHeight="1" thickBot="1" x14ac:dyDescent="0.3">
      <c r="A135" s="395" t="s">
        <v>43</v>
      </c>
      <c r="B135" s="396"/>
      <c r="C135" s="396"/>
      <c r="D135" s="397"/>
      <c r="E135" s="38" t="s">
        <v>93</v>
      </c>
      <c r="F135" s="401" t="s">
        <v>73</v>
      </c>
      <c r="G135" s="402"/>
      <c r="H135" s="403"/>
      <c r="J135" s="34"/>
      <c r="K135" s="35"/>
      <c r="L135" s="35"/>
      <c r="M135" s="35"/>
      <c r="N135" s="35"/>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William &amp; Mary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William &amp; Mary 6 Year Plan</dc:title>
  <dc:subject>W&amp;M Academic Financial Plan</dc:subject>
  <dc:creator>Long, Jacob</dc:creator>
  <cp:keywords>Fiscal 23-24 Biennium, W&amp;M 6 Year Plan, Academic-Financial Plan, Financial Aid, Tuition</cp:keywords>
  <cp:lastModifiedBy>VITA Program</cp:lastModifiedBy>
  <cp:lastPrinted>2021-04-14T17:17:24Z</cp:lastPrinted>
  <dcterms:created xsi:type="dcterms:W3CDTF">2011-02-22T14:15:27Z</dcterms:created>
  <dcterms:modified xsi:type="dcterms:W3CDTF">2021-11-16T21:44:38Z</dcterms:modified>
</cp:coreProperties>
</file>