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529"/>
  <workbookPr autoCompressPictures="0" defaultThemeVersion="124226"/>
  <mc:AlternateContent xmlns:mc="http://schemas.openxmlformats.org/markup-compatibility/2006">
    <mc:Choice Requires="x15">
      <x15ac:absPath xmlns:x15ac="http://schemas.microsoft.com/office/spreadsheetml/2010/11/ac" url="\\vccs.edu\user_dir\users\cherndon\AS\Six Year Plan\"/>
    </mc:Choice>
  </mc:AlternateContent>
  <xr:revisionPtr revIDLastSave="0" documentId="8_{1B5FFC2A-60A7-4722-B41C-3F606BB73664}" xr6:coauthVersionLast="47" xr6:coauthVersionMax="47" xr10:uidLastSave="{00000000-0000-0000-0000-000000000000}"/>
  <bookViews>
    <workbookView xWindow="-103" yWindow="-103" windowWidth="23657" windowHeight="15240" tabRatio="659" activeTab="1" xr2:uid="{00000000-000D-0000-FFFF-FFFF00000000}"/>
  </bookViews>
  <sheets>
    <sheet name="Instruction" sheetId="37" r:id="rId1"/>
    <sheet name="Institution ID" sheetId="8" r:id="rId2"/>
    <sheet name="1-UG T&amp;F" sheetId="29" r:id="rId3"/>
    <sheet name="2-Revenue" sheetId="2" r:id="rId4"/>
    <sheet name="3-Financial Aid" sheetId="28" r:id="rId5"/>
    <sheet name="4-Academic-Financial" sheetId="5" r:id="rId6"/>
    <sheet name="4b - GF share" sheetId="38" r:id="rId7"/>
    <sheet name="5-Six-Year Pro Forma" sheetId="34" r:id="rId8"/>
    <sheet name="6-GF Request" sheetId="21" r:id="rId9"/>
    <sheet name="GF Request Categories" sheetId="36" state="hidden" r:id="rId10"/>
    <sheet name="Finance-Tuition Waivers" sheetId="9" state="hidden" r:id="rId11"/>
    <sheet name="Sheet1" sheetId="10" state="hidden" r:id="rId12"/>
  </sheets>
  <definedNames>
    <definedName name="_xlnm.Print_Area" localSheetId="5">'4-Academic-Financial'!$A$1:$Q$56</definedName>
    <definedName name="_xlnm.Print_Area" localSheetId="8">'6-GF Request'!$A$1:$H$19</definedName>
    <definedName name="_xlnm.Print_Area" localSheetId="10">'Finance-Tuition Waivers'!$A$1:$H$135</definedName>
    <definedName name="_xlnm.Print_Area" localSheetId="1">'Institution ID'!$A$1:$S$8</definedName>
    <definedName name="_xlnm.Print_Titles" localSheetId="5">'4-Academic-Financial'!$1:$2</definedName>
    <definedName name="_xlnm.Print_Titles" localSheetId="8">'6-GF Request'!$1:$9</definedName>
    <definedName name="_xlnm.Print_Titles" localSheetId="10">'Finance-Tuition Waivers'!$1:$5</definedName>
    <definedName name="Rank">Sheet1!$A$2:$A$51</definedName>
    <definedName name="YesNo">Sheet1!$B$2:$B$3</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9" i="5" l="1"/>
  <c r="K17" i="5"/>
  <c r="K23" i="5"/>
  <c r="K24" i="5"/>
  <c r="K26" i="5"/>
  <c r="B25" i="2"/>
  <c r="C13" i="29"/>
  <c r="E13" i="29" s="1"/>
  <c r="C9" i="29"/>
  <c r="E9" i="29" s="1"/>
  <c r="E15" i="29"/>
  <c r="E14" i="29"/>
  <c r="E11" i="29"/>
  <c r="C11" i="29"/>
  <c r="C10" i="29"/>
  <c r="E10" i="29" s="1"/>
  <c r="C15" i="29"/>
  <c r="C14" i="29"/>
  <c r="C25" i="2"/>
  <c r="B13" i="29" l="1"/>
  <c r="B9" i="29" l="1"/>
  <c r="L22" i="5" l="1"/>
  <c r="M23" i="5" l="1"/>
  <c r="N23" i="5" s="1"/>
  <c r="O23" i="5" s="1"/>
  <c r="P23" i="5" s="1"/>
  <c r="M24" i="5"/>
  <c r="N24" i="5" s="1"/>
  <c r="O24" i="5" s="1"/>
  <c r="P24" i="5" s="1"/>
  <c r="H24" i="5"/>
  <c r="H23" i="5"/>
  <c r="I25" i="5" l="1"/>
  <c r="I18" i="5"/>
  <c r="I22" i="5"/>
  <c r="M26" i="5"/>
  <c r="N26" i="5" s="1"/>
  <c r="O26" i="5" s="1"/>
  <c r="P26" i="5" s="1"/>
  <c r="I26" i="5" l="1"/>
  <c r="L17" i="5"/>
  <c r="L14" i="5"/>
  <c r="L13" i="5"/>
  <c r="K14" i="5"/>
  <c r="K13" i="5"/>
  <c r="L12" i="5"/>
  <c r="K12" i="5"/>
  <c r="C26" i="28"/>
  <c r="C25" i="28"/>
  <c r="C13" i="28"/>
  <c r="C12" i="28"/>
  <c r="D34" i="2" l="1"/>
  <c r="F12" i="5" l="1"/>
  <c r="E12" i="5" s="1"/>
  <c r="F24" i="5"/>
  <c r="E24" i="5" s="1"/>
  <c r="Q7" i="2"/>
  <c r="Q8" i="2"/>
  <c r="Q9" i="2"/>
  <c r="Q10" i="2"/>
  <c r="Q11" i="2"/>
  <c r="Q12" i="2"/>
  <c r="Q13" i="2"/>
  <c r="Q14" i="2"/>
  <c r="Q15" i="2"/>
  <c r="Q16" i="2"/>
  <c r="Q17" i="2"/>
  <c r="Q19" i="2"/>
  <c r="Q20" i="2"/>
  <c r="Q21" i="2"/>
  <c r="Q22" i="2"/>
  <c r="Q23" i="2"/>
  <c r="Q24" i="2"/>
  <c r="Q25" i="2"/>
  <c r="Q26" i="2"/>
  <c r="J17" i="5" l="1"/>
  <c r="I17" i="5" s="1"/>
  <c r="F17" i="5"/>
  <c r="E17" i="5" s="1"/>
  <c r="P16" i="5"/>
  <c r="O16" i="5"/>
  <c r="N16" i="5"/>
  <c r="M16" i="5"/>
  <c r="L16" i="5"/>
  <c r="K16" i="5"/>
  <c r="J16" i="5"/>
  <c r="H16" i="5"/>
  <c r="G16" i="5"/>
  <c r="F16" i="5"/>
  <c r="K49" i="5"/>
  <c r="K48" i="5"/>
  <c r="K47" i="5"/>
  <c r="K46" i="5"/>
  <c r="K45" i="5"/>
  <c r="K43" i="5"/>
  <c r="K42" i="5"/>
  <c r="K41" i="5"/>
  <c r="K40" i="5"/>
  <c r="K39" i="5"/>
  <c r="K37" i="5"/>
  <c r="K36" i="5"/>
  <c r="K35" i="5"/>
  <c r="K34" i="5"/>
  <c r="K33" i="5"/>
  <c r="K31" i="5"/>
  <c r="K30" i="5"/>
  <c r="K29" i="5"/>
  <c r="K28" i="5"/>
  <c r="K20" i="5"/>
  <c r="K15" i="5"/>
  <c r="G15" i="5"/>
  <c r="G19" i="5"/>
  <c r="G20" i="5"/>
  <c r="G28" i="5"/>
  <c r="G29" i="5"/>
  <c r="G30" i="5"/>
  <c r="G31" i="5"/>
  <c r="G33" i="5"/>
  <c r="G34" i="5"/>
  <c r="G35" i="5"/>
  <c r="G36" i="5"/>
  <c r="G37" i="5"/>
  <c r="G39" i="5"/>
  <c r="G40" i="5"/>
  <c r="G41" i="5"/>
  <c r="G42" i="5"/>
  <c r="G43" i="5"/>
  <c r="G45" i="5"/>
  <c r="G46" i="5"/>
  <c r="G47" i="5"/>
  <c r="G48" i="5"/>
  <c r="G49" i="5"/>
  <c r="D12" i="21"/>
  <c r="E12" i="21"/>
  <c r="F12" i="21"/>
  <c r="G12" i="21"/>
  <c r="E16" i="5" l="1"/>
  <c r="I16" i="5"/>
  <c r="G50" i="5"/>
  <c r="K50" i="5"/>
  <c r="P46" i="5"/>
  <c r="O46" i="5"/>
  <c r="N46" i="5"/>
  <c r="M46" i="5"/>
  <c r="J46" i="5"/>
  <c r="F46" i="5"/>
  <c r="P47" i="5"/>
  <c r="O47" i="5"/>
  <c r="N47" i="5"/>
  <c r="M47" i="5"/>
  <c r="J47" i="5"/>
  <c r="F47" i="5"/>
  <c r="E47" i="5" s="1"/>
  <c r="P45" i="5"/>
  <c r="O45" i="5"/>
  <c r="N45" i="5"/>
  <c r="M45" i="5"/>
  <c r="J45" i="5"/>
  <c r="I45" i="5" s="1"/>
  <c r="F45" i="5"/>
  <c r="P48" i="5"/>
  <c r="O48" i="5"/>
  <c r="N48" i="5"/>
  <c r="M48" i="5"/>
  <c r="J48" i="5"/>
  <c r="F48" i="5"/>
  <c r="P41" i="5"/>
  <c r="O41" i="5"/>
  <c r="N41" i="5"/>
  <c r="M41" i="5"/>
  <c r="J41" i="5"/>
  <c r="F41" i="5"/>
  <c r="P42" i="5"/>
  <c r="O42" i="5"/>
  <c r="N42" i="5"/>
  <c r="M42" i="5"/>
  <c r="J42" i="5"/>
  <c r="F42" i="5"/>
  <c r="P40" i="5"/>
  <c r="O40" i="5"/>
  <c r="N40" i="5"/>
  <c r="M40" i="5"/>
  <c r="J40" i="5"/>
  <c r="F40" i="5"/>
  <c r="P39" i="5"/>
  <c r="O39" i="5"/>
  <c r="N39" i="5"/>
  <c r="M39" i="5"/>
  <c r="J39" i="5"/>
  <c r="F39" i="5"/>
  <c r="P30" i="5"/>
  <c r="O30" i="5"/>
  <c r="N30" i="5"/>
  <c r="M30" i="5"/>
  <c r="J30" i="5"/>
  <c r="F30" i="5"/>
  <c r="P19" i="5"/>
  <c r="O19" i="5"/>
  <c r="N19" i="5"/>
  <c r="M19" i="5"/>
  <c r="J19" i="5"/>
  <c r="I19" i="5" s="1"/>
  <c r="F19" i="5"/>
  <c r="J24" i="5"/>
  <c r="I24" i="5" s="1"/>
  <c r="F25" i="5"/>
  <c r="F35" i="5"/>
  <c r="J35" i="5"/>
  <c r="M35" i="5"/>
  <c r="N35" i="5"/>
  <c r="O35" i="5"/>
  <c r="P35" i="5"/>
  <c r="F36" i="5"/>
  <c r="J36" i="5"/>
  <c r="M36" i="5"/>
  <c r="N36" i="5"/>
  <c r="O36" i="5"/>
  <c r="P36" i="5"/>
  <c r="F37" i="5"/>
  <c r="J37" i="5"/>
  <c r="I37" i="5" s="1"/>
  <c r="M37" i="5"/>
  <c r="N37" i="5"/>
  <c r="O37" i="5"/>
  <c r="P37" i="5"/>
  <c r="P33" i="5"/>
  <c r="O33" i="5"/>
  <c r="N33" i="5"/>
  <c r="M33" i="5"/>
  <c r="J33" i="5"/>
  <c r="F33" i="5"/>
  <c r="P34" i="5"/>
  <c r="O34" i="5"/>
  <c r="N34" i="5"/>
  <c r="M34" i="5"/>
  <c r="J34" i="5"/>
  <c r="F34" i="5"/>
  <c r="I47" i="5" l="1"/>
  <c r="E46" i="5"/>
  <c r="I46" i="5"/>
  <c r="E48" i="5"/>
  <c r="E45" i="5"/>
  <c r="I48" i="5"/>
  <c r="E35" i="5"/>
  <c r="E19" i="5"/>
  <c r="E30" i="5"/>
  <c r="E39" i="5"/>
  <c r="E41" i="5"/>
  <c r="I40" i="5"/>
  <c r="I41" i="5"/>
  <c r="I42" i="5"/>
  <c r="E40" i="5"/>
  <c r="E42" i="5"/>
  <c r="I39" i="5"/>
  <c r="I30" i="5"/>
  <c r="E25" i="5"/>
  <c r="E37" i="5"/>
  <c r="I34" i="5"/>
  <c r="I33" i="5"/>
  <c r="I36" i="5"/>
  <c r="I35" i="5"/>
  <c r="E33" i="5"/>
  <c r="E34" i="5"/>
  <c r="E36" i="5"/>
  <c r="P43" i="5"/>
  <c r="O43" i="5"/>
  <c r="N43" i="5"/>
  <c r="M43" i="5"/>
  <c r="J43" i="5"/>
  <c r="F43" i="5"/>
  <c r="P29" i="5"/>
  <c r="O29" i="5"/>
  <c r="N29" i="5"/>
  <c r="M29" i="5"/>
  <c r="J29" i="5"/>
  <c r="F29" i="5"/>
  <c r="P28" i="5"/>
  <c r="O28" i="5"/>
  <c r="N28" i="5"/>
  <c r="M28" i="5"/>
  <c r="J28" i="5"/>
  <c r="F28" i="5"/>
  <c r="F26" i="5"/>
  <c r="J23" i="5"/>
  <c r="I23" i="5" s="1"/>
  <c r="F23" i="5"/>
  <c r="E23" i="5" s="1"/>
  <c r="F22" i="5"/>
  <c r="J20" i="5"/>
  <c r="I20" i="5" s="1"/>
  <c r="M20" i="5"/>
  <c r="N20" i="5"/>
  <c r="O20" i="5"/>
  <c r="P20" i="5"/>
  <c r="F18" i="5"/>
  <c r="F20" i="5"/>
  <c r="I28" i="5" l="1"/>
  <c r="E43" i="5"/>
  <c r="I43" i="5"/>
  <c r="E26" i="5"/>
  <c r="E20" i="5"/>
  <c r="I29" i="5"/>
  <c r="E22" i="5"/>
  <c r="E29" i="5"/>
  <c r="E18" i="5"/>
  <c r="E28" i="5"/>
  <c r="D14" i="34"/>
  <c r="C14" i="34"/>
  <c r="D31" i="34" l="1"/>
  <c r="O24" i="2" l="1"/>
  <c r="M24" i="2"/>
  <c r="K24" i="2"/>
  <c r="I24" i="2"/>
  <c r="G24" i="2"/>
  <c r="E24" i="2"/>
  <c r="C24" i="2"/>
  <c r="C26" i="2" s="1"/>
  <c r="B24" i="2"/>
  <c r="D24" i="2" l="1"/>
  <c r="R24" i="2"/>
  <c r="B26" i="2"/>
  <c r="C10" i="34"/>
  <c r="P10" i="34"/>
  <c r="P24" i="2"/>
  <c r="N24" i="2"/>
  <c r="N10" i="34"/>
  <c r="L24" i="2"/>
  <c r="L10" i="34"/>
  <c r="J24" i="2"/>
  <c r="J10" i="34"/>
  <c r="H10" i="34"/>
  <c r="H24" i="2"/>
  <c r="F10" i="34"/>
  <c r="F24" i="2"/>
  <c r="J55" i="5"/>
  <c r="I55" i="5"/>
  <c r="D10" i="34"/>
  <c r="A2" i="34"/>
  <c r="G108" i="28"/>
  <c r="F108" i="28"/>
  <c r="E108" i="28"/>
  <c r="C108" i="28"/>
  <c r="D108" i="28" s="1"/>
  <c r="G107" i="28"/>
  <c r="F107" i="28"/>
  <c r="E107" i="28"/>
  <c r="C107" i="28"/>
  <c r="D107" i="28" s="1"/>
  <c r="G106" i="28"/>
  <c r="F106" i="28"/>
  <c r="E106" i="28"/>
  <c r="C106" i="28"/>
  <c r="D106" i="28" s="1"/>
  <c r="G105" i="28"/>
  <c r="F105" i="28"/>
  <c r="E105" i="28"/>
  <c r="C105" i="28"/>
  <c r="D105" i="28" s="1"/>
  <c r="F104" i="28"/>
  <c r="E104" i="28"/>
  <c r="F103" i="28"/>
  <c r="G95" i="28"/>
  <c r="F95" i="28"/>
  <c r="E95" i="28"/>
  <c r="C95" i="28"/>
  <c r="D95" i="28" s="1"/>
  <c r="G94" i="28"/>
  <c r="F94" i="28"/>
  <c r="E94" i="28"/>
  <c r="C94" i="28"/>
  <c r="D94" i="28" s="1"/>
  <c r="G93" i="28"/>
  <c r="F93" i="28"/>
  <c r="E93" i="28"/>
  <c r="C93" i="28"/>
  <c r="D93" i="28" s="1"/>
  <c r="G92" i="28"/>
  <c r="F92" i="28"/>
  <c r="E92" i="28"/>
  <c r="C92" i="28"/>
  <c r="D92" i="28" s="1"/>
  <c r="F91" i="28"/>
  <c r="E91" i="28"/>
  <c r="F90" i="28"/>
  <c r="G82" i="28"/>
  <c r="F82" i="28"/>
  <c r="E82" i="28"/>
  <c r="C82" i="28"/>
  <c r="D82" i="28" s="1"/>
  <c r="G81" i="28"/>
  <c r="F81" i="28"/>
  <c r="E81" i="28"/>
  <c r="C81" i="28"/>
  <c r="D81" i="28" s="1"/>
  <c r="G80" i="28"/>
  <c r="F80" i="28"/>
  <c r="E80" i="28"/>
  <c r="C80" i="28"/>
  <c r="D80" i="28" s="1"/>
  <c r="G79" i="28"/>
  <c r="F79" i="28"/>
  <c r="E79" i="28"/>
  <c r="C79" i="28"/>
  <c r="D79" i="28" s="1"/>
  <c r="F78" i="28"/>
  <c r="E78" i="28"/>
  <c r="F77" i="28"/>
  <c r="G69" i="28"/>
  <c r="F69" i="28"/>
  <c r="E69" i="28"/>
  <c r="C69" i="28"/>
  <c r="D69" i="28" s="1"/>
  <c r="G68" i="28"/>
  <c r="F68" i="28"/>
  <c r="E68" i="28"/>
  <c r="C68" i="28"/>
  <c r="D68" i="28" s="1"/>
  <c r="G67" i="28"/>
  <c r="F67" i="28"/>
  <c r="E67" i="28"/>
  <c r="C67" i="28"/>
  <c r="D67" i="28" s="1"/>
  <c r="G66" i="28"/>
  <c r="F66" i="28"/>
  <c r="E66" i="28"/>
  <c r="C66" i="28"/>
  <c r="D66" i="28" s="1"/>
  <c r="F65" i="28"/>
  <c r="E65" i="28"/>
  <c r="F64" i="28"/>
  <c r="C8" i="34"/>
  <c r="H23" i="2"/>
  <c r="L23" i="2"/>
  <c r="J23" i="2"/>
  <c r="N23" i="2"/>
  <c r="P23" i="2"/>
  <c r="E25" i="2"/>
  <c r="E26" i="2" s="1"/>
  <c r="R10" i="34" l="1"/>
  <c r="S10" i="34" s="1"/>
  <c r="C13" i="34"/>
  <c r="C12" i="34"/>
  <c r="E96" i="28"/>
  <c r="F109" i="28"/>
  <c r="G109" i="28"/>
  <c r="F96" i="28"/>
  <c r="G96" i="28"/>
  <c r="E109" i="28"/>
  <c r="G83" i="28"/>
  <c r="E83" i="28"/>
  <c r="F83" i="28"/>
  <c r="E70" i="28"/>
  <c r="G70" i="28"/>
  <c r="F70" i="28"/>
  <c r="G25" i="2"/>
  <c r="G26" i="2" s="1"/>
  <c r="D8" i="34"/>
  <c r="E8" i="34" s="1"/>
  <c r="F25" i="2"/>
  <c r="D25" i="2"/>
  <c r="H25" i="2" l="1"/>
  <c r="C23" i="34"/>
  <c r="C17" i="34"/>
  <c r="D13" i="34"/>
  <c r="D12" i="34"/>
  <c r="E12" i="34" s="1"/>
  <c r="E13" i="34"/>
  <c r="I25" i="2"/>
  <c r="I26" i="2" s="1"/>
  <c r="J25" i="2" l="1"/>
  <c r="D17" i="34"/>
  <c r="E17" i="34" s="1"/>
  <c r="D23" i="34"/>
  <c r="C18" i="34"/>
  <c r="F23" i="34"/>
  <c r="K25" i="2"/>
  <c r="K26" i="2" s="1"/>
  <c r="L25" i="2" l="1"/>
  <c r="C36" i="34"/>
  <c r="C25" i="34"/>
  <c r="G23" i="34"/>
  <c r="E23" i="34"/>
  <c r="C24" i="34"/>
  <c r="C35" i="34"/>
  <c r="C34" i="34"/>
  <c r="D18" i="34"/>
  <c r="H23" i="34"/>
  <c r="I23" i="34" s="1"/>
  <c r="M25" i="2"/>
  <c r="M26" i="2" s="1"/>
  <c r="N25" i="2" l="1"/>
  <c r="D36" i="34"/>
  <c r="D25" i="34"/>
  <c r="E25" i="34" s="1"/>
  <c r="C37" i="34"/>
  <c r="E36" i="34"/>
  <c r="D34" i="34"/>
  <c r="D35" i="34"/>
  <c r="E35" i="34" s="1"/>
  <c r="D24" i="34"/>
  <c r="E24" i="34" s="1"/>
  <c r="E18" i="34"/>
  <c r="E34" i="34"/>
  <c r="J23" i="34"/>
  <c r="K23" i="34"/>
  <c r="O25" i="2"/>
  <c r="P25" i="2" s="1"/>
  <c r="O26" i="2" l="1"/>
  <c r="Q18" i="2" s="1"/>
  <c r="R25" i="2"/>
  <c r="D37" i="34"/>
  <c r="E37" i="34" s="1"/>
  <c r="L23" i="34"/>
  <c r="M23" i="34" s="1"/>
  <c r="B64" i="28"/>
  <c r="B77" i="28"/>
  <c r="B90" i="28"/>
  <c r="B103" i="28"/>
  <c r="B104" i="28"/>
  <c r="H104" i="28" s="1"/>
  <c r="I104" i="28" s="1"/>
  <c r="I9" i="2"/>
  <c r="K9" i="2"/>
  <c r="M9" i="2"/>
  <c r="O9" i="2"/>
  <c r="B105" i="28" s="1"/>
  <c r="H105" i="28" s="1"/>
  <c r="I105" i="28" s="1"/>
  <c r="B106" i="28"/>
  <c r="H106" i="28" s="1"/>
  <c r="I106" i="28" s="1"/>
  <c r="I11" i="2"/>
  <c r="K11" i="2"/>
  <c r="M11" i="2"/>
  <c r="O11" i="2"/>
  <c r="I12" i="2"/>
  <c r="K12" i="2"/>
  <c r="M12" i="2"/>
  <c r="O12" i="2"/>
  <c r="I13" i="2"/>
  <c r="L13" i="2" s="1"/>
  <c r="K13" i="2"/>
  <c r="N13" i="2" s="1"/>
  <c r="M13" i="2"/>
  <c r="P13" i="2" s="1"/>
  <c r="O13" i="2"/>
  <c r="I14" i="2"/>
  <c r="L14" i="2" s="1"/>
  <c r="K14" i="2"/>
  <c r="N14" i="2" s="1"/>
  <c r="M14" i="2"/>
  <c r="P14" i="2" s="1"/>
  <c r="O14" i="2"/>
  <c r="I15" i="2"/>
  <c r="L15" i="2" s="1"/>
  <c r="K15" i="2"/>
  <c r="N15" i="2" s="1"/>
  <c r="M15" i="2"/>
  <c r="P15" i="2" s="1"/>
  <c r="O15" i="2"/>
  <c r="I16" i="2"/>
  <c r="L16" i="2" s="1"/>
  <c r="K16" i="2"/>
  <c r="N16" i="2" s="1"/>
  <c r="M16" i="2"/>
  <c r="P16" i="2" s="1"/>
  <c r="O16" i="2"/>
  <c r="I17" i="2"/>
  <c r="L17" i="2" s="1"/>
  <c r="K17" i="2"/>
  <c r="N17" i="2" s="1"/>
  <c r="M17" i="2"/>
  <c r="P17" i="2" s="1"/>
  <c r="O17" i="2"/>
  <c r="I18" i="2"/>
  <c r="L18" i="2" s="1"/>
  <c r="K18" i="2"/>
  <c r="N18" i="2" s="1"/>
  <c r="M18" i="2"/>
  <c r="P18" i="2" s="1"/>
  <c r="O18" i="2"/>
  <c r="I19" i="2"/>
  <c r="L19" i="2" s="1"/>
  <c r="K19" i="2"/>
  <c r="N19" i="2" s="1"/>
  <c r="M19" i="2"/>
  <c r="P19" i="2" s="1"/>
  <c r="O19" i="2"/>
  <c r="I20" i="2"/>
  <c r="L20" i="2" s="1"/>
  <c r="K20" i="2"/>
  <c r="N20" i="2" s="1"/>
  <c r="M20" i="2"/>
  <c r="P20" i="2" s="1"/>
  <c r="O20" i="2"/>
  <c r="I21" i="2"/>
  <c r="L21" i="2" s="1"/>
  <c r="K21" i="2"/>
  <c r="N21" i="2" s="1"/>
  <c r="M21" i="2"/>
  <c r="P21" i="2" s="1"/>
  <c r="O21" i="2"/>
  <c r="F23" i="2"/>
  <c r="E16" i="29"/>
  <c r="C16" i="29"/>
  <c r="D16" i="29" s="1"/>
  <c r="B16" i="29"/>
  <c r="E12" i="29"/>
  <c r="C12" i="29"/>
  <c r="D12" i="29" s="1"/>
  <c r="B12" i="29"/>
  <c r="F13" i="29"/>
  <c r="F14" i="29"/>
  <c r="F15" i="29"/>
  <c r="D13" i="29"/>
  <c r="D14" i="29"/>
  <c r="D15" i="29"/>
  <c r="F16" i="29" l="1"/>
  <c r="F12" i="29"/>
  <c r="N23" i="34"/>
  <c r="O23" i="34" s="1"/>
  <c r="B108" i="28"/>
  <c r="H108" i="28" s="1"/>
  <c r="I108" i="28" s="1"/>
  <c r="P8" i="2"/>
  <c r="B91" i="28"/>
  <c r="H91" i="28" s="1"/>
  <c r="I91" i="28" s="1"/>
  <c r="N12" i="2"/>
  <c r="B82" i="28"/>
  <c r="H82" i="28" s="1"/>
  <c r="I82" i="28" s="1"/>
  <c r="N10" i="2"/>
  <c r="B80" i="28"/>
  <c r="H80" i="28" s="1"/>
  <c r="I80" i="28" s="1"/>
  <c r="N8" i="2"/>
  <c r="B78" i="28"/>
  <c r="H78" i="28" s="1"/>
  <c r="I78" i="28" s="1"/>
  <c r="L12" i="2"/>
  <c r="B69" i="28"/>
  <c r="H69" i="28" s="1"/>
  <c r="I69" i="28" s="1"/>
  <c r="L10" i="2"/>
  <c r="B67" i="28"/>
  <c r="H67" i="28" s="1"/>
  <c r="I67" i="28" s="1"/>
  <c r="L8" i="2"/>
  <c r="B65" i="28"/>
  <c r="H65" i="28" s="1"/>
  <c r="I65" i="28" s="1"/>
  <c r="B107" i="28"/>
  <c r="H107" i="28" s="1"/>
  <c r="I107" i="28" s="1"/>
  <c r="H103" i="28"/>
  <c r="P12" i="2"/>
  <c r="B95" i="28"/>
  <c r="H95" i="28" s="1"/>
  <c r="I95" i="28" s="1"/>
  <c r="P11" i="2"/>
  <c r="B94" i="28"/>
  <c r="H94" i="28" s="1"/>
  <c r="I94" i="28" s="1"/>
  <c r="P9" i="2"/>
  <c r="B92" i="28"/>
  <c r="H92" i="28" s="1"/>
  <c r="I92" i="28" s="1"/>
  <c r="H90" i="28"/>
  <c r="N11" i="2"/>
  <c r="B81" i="28"/>
  <c r="H81" i="28" s="1"/>
  <c r="I81" i="28" s="1"/>
  <c r="N9" i="2"/>
  <c r="B79" i="28"/>
  <c r="H79" i="28" s="1"/>
  <c r="I79" i="28" s="1"/>
  <c r="H77" i="28"/>
  <c r="P10" i="2"/>
  <c r="B93" i="28"/>
  <c r="H93" i="28" s="1"/>
  <c r="I93" i="28" s="1"/>
  <c r="L11" i="2"/>
  <c r="B68" i="28"/>
  <c r="H68" i="28" s="1"/>
  <c r="I68" i="28" s="1"/>
  <c r="L9" i="2"/>
  <c r="B66" i="28"/>
  <c r="H66" i="28" s="1"/>
  <c r="I66" i="28" s="1"/>
  <c r="H64" i="28"/>
  <c r="P7" i="2"/>
  <c r="N7" i="2"/>
  <c r="L7" i="2"/>
  <c r="M22" i="2"/>
  <c r="P22" i="2" s="1"/>
  <c r="D23" i="2"/>
  <c r="R23" i="2"/>
  <c r="O22" i="2"/>
  <c r="K22" i="2"/>
  <c r="N22" i="2" s="1"/>
  <c r="I22" i="2"/>
  <c r="L22" i="2" s="1"/>
  <c r="P49" i="5"/>
  <c r="P31" i="5"/>
  <c r="P15" i="5"/>
  <c r="O49" i="5"/>
  <c r="O31" i="5"/>
  <c r="O15" i="5"/>
  <c r="N49" i="5"/>
  <c r="N31" i="5"/>
  <c r="N15" i="5"/>
  <c r="M49" i="5"/>
  <c r="M31" i="5"/>
  <c r="M15" i="5"/>
  <c r="B83" i="28" l="1"/>
  <c r="P23" i="34"/>
  <c r="Q23" i="34" s="1"/>
  <c r="M50" i="5"/>
  <c r="P50" i="5"/>
  <c r="P15" i="34" s="1"/>
  <c r="N50" i="5"/>
  <c r="L15" i="34" s="1"/>
  <c r="O50" i="5"/>
  <c r="N15" i="34" s="1"/>
  <c r="B70" i="28"/>
  <c r="H83" i="28"/>
  <c r="I83" i="28" s="1"/>
  <c r="L9" i="34" s="1"/>
  <c r="I77" i="28"/>
  <c r="B96" i="28"/>
  <c r="B109" i="28"/>
  <c r="I64" i="28"/>
  <c r="H70" i="28"/>
  <c r="I70" i="28" s="1"/>
  <c r="J9" i="34" s="1"/>
  <c r="I90" i="28"/>
  <c r="H96" i="28"/>
  <c r="I96" i="28" s="1"/>
  <c r="N9" i="34" s="1"/>
  <c r="I103" i="28"/>
  <c r="H109" i="28"/>
  <c r="I109" i="28" s="1"/>
  <c r="P9" i="34" s="1"/>
  <c r="E14" i="34"/>
  <c r="P26" i="2"/>
  <c r="N26" i="2"/>
  <c r="C104" i="28" l="1"/>
  <c r="D104" i="28" s="1"/>
  <c r="C103" i="28"/>
  <c r="C91" i="28"/>
  <c r="D91" i="28" s="1"/>
  <c r="C90" i="28"/>
  <c r="C78" i="28"/>
  <c r="D78" i="28" s="1"/>
  <c r="C77" i="28"/>
  <c r="C65" i="28"/>
  <c r="D65" i="28" s="1"/>
  <c r="C64" i="28"/>
  <c r="Q9" i="34"/>
  <c r="O9" i="34"/>
  <c r="M9" i="34"/>
  <c r="R23" i="34"/>
  <c r="S23" i="34"/>
  <c r="J15" i="34"/>
  <c r="Q15" i="34"/>
  <c r="O15" i="34"/>
  <c r="O10" i="34"/>
  <c r="Q10" i="34"/>
  <c r="N11" i="34"/>
  <c r="P11" i="34"/>
  <c r="L26" i="2"/>
  <c r="C109" i="28" l="1"/>
  <c r="D109" i="28" s="1"/>
  <c r="D103" i="28"/>
  <c r="D90" i="28"/>
  <c r="C96" i="28"/>
  <c r="D96" i="28" s="1"/>
  <c r="J77" i="28"/>
  <c r="K77" i="28" s="1"/>
  <c r="D77" i="28"/>
  <c r="C83" i="28"/>
  <c r="D83" i="28" s="1"/>
  <c r="C70" i="28"/>
  <c r="D70" i="28" s="1"/>
  <c r="J64" i="28"/>
  <c r="K64" i="28" s="1"/>
  <c r="D64" i="28"/>
  <c r="M15" i="34"/>
  <c r="Q11" i="34"/>
  <c r="M10" i="34"/>
  <c r="L11" i="34"/>
  <c r="O11" i="34" l="1"/>
  <c r="D10" i="29" l="1"/>
  <c r="F10" i="29"/>
  <c r="D11" i="29"/>
  <c r="F11" i="29"/>
  <c r="F9" i="29" l="1"/>
  <c r="D9" i="29"/>
  <c r="A2" i="29" l="1"/>
  <c r="A2" i="28" l="1"/>
  <c r="G56" i="28"/>
  <c r="F56" i="28"/>
  <c r="E56" i="28"/>
  <c r="C56" i="28"/>
  <c r="D56" i="28" s="1"/>
  <c r="G55" i="28"/>
  <c r="F55" i="28"/>
  <c r="E55" i="28"/>
  <c r="C55" i="28"/>
  <c r="D55" i="28" s="1"/>
  <c r="G54" i="28"/>
  <c r="F54" i="28"/>
  <c r="E54" i="28"/>
  <c r="C54" i="28"/>
  <c r="D54" i="28" s="1"/>
  <c r="G53" i="28"/>
  <c r="F53" i="28"/>
  <c r="E53" i="28"/>
  <c r="C53" i="28"/>
  <c r="D53" i="28" s="1"/>
  <c r="F52" i="28"/>
  <c r="E52" i="28"/>
  <c r="F51" i="28"/>
  <c r="G43" i="28"/>
  <c r="F43" i="28"/>
  <c r="E43" i="28"/>
  <c r="C43" i="28"/>
  <c r="D43" i="28" s="1"/>
  <c r="G42" i="28"/>
  <c r="F42" i="28"/>
  <c r="E42" i="28"/>
  <c r="C42" i="28"/>
  <c r="D42" i="28" s="1"/>
  <c r="G41" i="28"/>
  <c r="F41" i="28"/>
  <c r="E41" i="28"/>
  <c r="C41" i="28"/>
  <c r="D41" i="28" s="1"/>
  <c r="G40" i="28"/>
  <c r="F40" i="28"/>
  <c r="E40" i="28"/>
  <c r="C40" i="28"/>
  <c r="D40" i="28" s="1"/>
  <c r="F39" i="28"/>
  <c r="E39" i="28"/>
  <c r="F38" i="28"/>
  <c r="G30" i="28"/>
  <c r="F30" i="28"/>
  <c r="E30" i="28"/>
  <c r="C30" i="28"/>
  <c r="D30" i="28" s="1"/>
  <c r="G29" i="28"/>
  <c r="F29" i="28"/>
  <c r="E29" i="28"/>
  <c r="C29" i="28"/>
  <c r="D29" i="28" s="1"/>
  <c r="G28" i="28"/>
  <c r="F28" i="28"/>
  <c r="E28" i="28"/>
  <c r="C28" i="28"/>
  <c r="D28" i="28" s="1"/>
  <c r="G27" i="28"/>
  <c r="F27" i="28"/>
  <c r="E27" i="28"/>
  <c r="C27" i="28"/>
  <c r="D27" i="28" s="1"/>
  <c r="F26" i="28"/>
  <c r="E26" i="28"/>
  <c r="D26" i="28"/>
  <c r="F25" i="28"/>
  <c r="G17" i="28"/>
  <c r="F17" i="28"/>
  <c r="E17" i="28"/>
  <c r="C17" i="28"/>
  <c r="D17" i="28" s="1"/>
  <c r="G16" i="28"/>
  <c r="F16" i="28"/>
  <c r="D16" i="28"/>
  <c r="G15" i="28"/>
  <c r="F15" i="28"/>
  <c r="E15" i="28"/>
  <c r="C15" i="28"/>
  <c r="D15" i="28" s="1"/>
  <c r="G14" i="28"/>
  <c r="F14" i="28"/>
  <c r="D14" i="28"/>
  <c r="F13" i="28"/>
  <c r="E13" i="28"/>
  <c r="J12" i="28"/>
  <c r="K12" i="28" s="1"/>
  <c r="F12" i="28"/>
  <c r="D12" i="28"/>
  <c r="F44" i="28" l="1"/>
  <c r="G57" i="28"/>
  <c r="F18" i="28"/>
  <c r="C18" i="28"/>
  <c r="D18" i="28" s="1"/>
  <c r="G31" i="28"/>
  <c r="D13" i="28"/>
  <c r="C31" i="28"/>
  <c r="D31" i="28" s="1"/>
  <c r="E18" i="28"/>
  <c r="D25" i="28"/>
  <c r="J25" i="28"/>
  <c r="K25" i="28" s="1"/>
  <c r="G44" i="28"/>
  <c r="F57" i="28"/>
  <c r="G18" i="28"/>
  <c r="E31" i="28"/>
  <c r="E44" i="28"/>
  <c r="E57" i="28"/>
  <c r="F31" i="28"/>
  <c r="F18" i="21" l="1"/>
  <c r="D18" i="21"/>
  <c r="J49" i="5"/>
  <c r="F49" i="5"/>
  <c r="H34" i="2"/>
  <c r="F34" i="2"/>
  <c r="H32" i="2"/>
  <c r="H31" i="2"/>
  <c r="F32" i="2"/>
  <c r="F31" i="2"/>
  <c r="D32" i="2"/>
  <c r="D31" i="2"/>
  <c r="G18" i="21"/>
  <c r="E18" i="21"/>
  <c r="A2" i="21"/>
  <c r="J31" i="5"/>
  <c r="J15" i="5"/>
  <c r="J14" i="5"/>
  <c r="I14" i="5" s="1"/>
  <c r="J13" i="5"/>
  <c r="I13" i="5" s="1"/>
  <c r="J12" i="5"/>
  <c r="F31" i="5"/>
  <c r="F15" i="5"/>
  <c r="F14" i="5"/>
  <c r="F13" i="5"/>
  <c r="L15" i="5"/>
  <c r="A2" i="5"/>
  <c r="G9" i="2"/>
  <c r="G10" i="2"/>
  <c r="G11" i="2"/>
  <c r="J11" i="2" s="1"/>
  <c r="G12" i="2"/>
  <c r="J12" i="2" s="1"/>
  <c r="G13" i="2"/>
  <c r="J13" i="2" s="1"/>
  <c r="G14" i="2"/>
  <c r="J14" i="2" s="1"/>
  <c r="G15" i="2"/>
  <c r="J15" i="2" s="1"/>
  <c r="G16" i="2"/>
  <c r="J16" i="2" s="1"/>
  <c r="G17" i="2"/>
  <c r="J17" i="2" s="1"/>
  <c r="G18" i="2"/>
  <c r="J18" i="2" s="1"/>
  <c r="G19" i="2"/>
  <c r="J19" i="2" s="1"/>
  <c r="G20" i="2"/>
  <c r="J20" i="2" s="1"/>
  <c r="E9" i="2"/>
  <c r="E10" i="2"/>
  <c r="E11" i="2"/>
  <c r="H11" i="2" s="1"/>
  <c r="E13" i="2"/>
  <c r="H13" i="2" s="1"/>
  <c r="E15" i="2"/>
  <c r="H15" i="2" s="1"/>
  <c r="E17" i="2"/>
  <c r="H17" i="2" s="1"/>
  <c r="E19" i="2"/>
  <c r="H19" i="2" s="1"/>
  <c r="E12" i="2"/>
  <c r="H12" i="2" s="1"/>
  <c r="E14" i="2"/>
  <c r="H14" i="2" s="1"/>
  <c r="E16" i="2"/>
  <c r="H16" i="2" s="1"/>
  <c r="E18" i="2"/>
  <c r="H18" i="2" s="1"/>
  <c r="E20" i="2"/>
  <c r="H20" i="2" s="1"/>
  <c r="C9" i="2"/>
  <c r="C10" i="2"/>
  <c r="C11" i="2"/>
  <c r="F11" i="2" s="1"/>
  <c r="C12" i="2"/>
  <c r="F12" i="2" s="1"/>
  <c r="C13" i="2"/>
  <c r="F13" i="2" s="1"/>
  <c r="C14" i="2"/>
  <c r="F14" i="2" s="1"/>
  <c r="C16" i="2"/>
  <c r="F16" i="2" s="1"/>
  <c r="C18" i="2"/>
  <c r="F18" i="2" s="1"/>
  <c r="C20" i="2"/>
  <c r="F20" i="2" s="1"/>
  <c r="C15" i="2"/>
  <c r="F15" i="2" s="1"/>
  <c r="C17" i="2"/>
  <c r="F17" i="2" s="1"/>
  <c r="C19" i="2"/>
  <c r="F19" i="2" s="1"/>
  <c r="B9" i="2"/>
  <c r="R9" i="2" s="1"/>
  <c r="B10" i="2"/>
  <c r="B11" i="2"/>
  <c r="B12" i="2"/>
  <c r="B13" i="2"/>
  <c r="B14" i="2"/>
  <c r="B15" i="2"/>
  <c r="B16" i="2"/>
  <c r="B17" i="2"/>
  <c r="B18" i="2"/>
  <c r="B19" i="2"/>
  <c r="B20" i="2"/>
  <c r="H15" i="5"/>
  <c r="H50" i="5" s="1"/>
  <c r="D108" i="9"/>
  <c r="H108" i="9" s="1"/>
  <c r="G108" i="9"/>
  <c r="D87" i="9"/>
  <c r="G87" i="9"/>
  <c r="H87" i="9"/>
  <c r="G66" i="9"/>
  <c r="D66" i="9"/>
  <c r="H66" i="9"/>
  <c r="D45" i="9"/>
  <c r="H45" i="9" s="1"/>
  <c r="G45" i="9"/>
  <c r="D24" i="9"/>
  <c r="G24" i="9"/>
  <c r="H24" i="9"/>
  <c r="D37" i="9"/>
  <c r="G37" i="9"/>
  <c r="H37" i="9"/>
  <c r="F47" i="9"/>
  <c r="E47" i="9"/>
  <c r="C47" i="9"/>
  <c r="B47" i="9"/>
  <c r="D46" i="9"/>
  <c r="G46" i="9"/>
  <c r="H46" i="9"/>
  <c r="G44" i="9"/>
  <c r="D44" i="9"/>
  <c r="H44" i="9"/>
  <c r="G43" i="9"/>
  <c r="D43" i="9"/>
  <c r="H43" i="9" s="1"/>
  <c r="G42" i="9"/>
  <c r="H42" i="9" s="1"/>
  <c r="D42" i="9"/>
  <c r="G41" i="9"/>
  <c r="D41" i="9"/>
  <c r="H41" i="9" s="1"/>
  <c r="G40" i="9"/>
  <c r="D40" i="9"/>
  <c r="H40" i="9" s="1"/>
  <c r="G39" i="9"/>
  <c r="D39" i="9"/>
  <c r="H39" i="9"/>
  <c r="G38" i="9"/>
  <c r="D38" i="9"/>
  <c r="D47" i="9" s="1"/>
  <c r="G36" i="9"/>
  <c r="D36" i="9"/>
  <c r="G34" i="9"/>
  <c r="D34" i="9"/>
  <c r="H34" i="9"/>
  <c r="G33" i="9"/>
  <c r="D33" i="9"/>
  <c r="G32" i="9"/>
  <c r="G47" i="9" s="1"/>
  <c r="D32" i="9"/>
  <c r="G31" i="9"/>
  <c r="D31" i="9"/>
  <c r="H31" i="9" s="1"/>
  <c r="F110" i="9"/>
  <c r="E110" i="9"/>
  <c r="C110" i="9"/>
  <c r="B110" i="9"/>
  <c r="G109" i="9"/>
  <c r="D109" i="9"/>
  <c r="H109" i="9" s="1"/>
  <c r="G107" i="9"/>
  <c r="D107" i="9"/>
  <c r="H107" i="9" s="1"/>
  <c r="G106" i="9"/>
  <c r="D106" i="9"/>
  <c r="H106" i="9"/>
  <c r="G105" i="9"/>
  <c r="D105" i="9"/>
  <c r="H105" i="9"/>
  <c r="G104" i="9"/>
  <c r="H104" i="9" s="1"/>
  <c r="D104" i="9"/>
  <c r="G103" i="9"/>
  <c r="D103" i="9"/>
  <c r="G102" i="9"/>
  <c r="D102" i="9"/>
  <c r="G101" i="9"/>
  <c r="D101" i="9"/>
  <c r="G100" i="9"/>
  <c r="D100" i="9"/>
  <c r="H100" i="9" s="1"/>
  <c r="G99" i="9"/>
  <c r="G110" i="9" s="1"/>
  <c r="D99" i="9"/>
  <c r="H99" i="9"/>
  <c r="G98" i="9"/>
  <c r="D98" i="9"/>
  <c r="G97" i="9"/>
  <c r="D97" i="9"/>
  <c r="G96" i="9"/>
  <c r="D96" i="9"/>
  <c r="H96" i="9" s="1"/>
  <c r="G95" i="9"/>
  <c r="D95" i="9"/>
  <c r="D110" i="9" s="1"/>
  <c r="G94" i="9"/>
  <c r="D94" i="9"/>
  <c r="F89" i="9"/>
  <c r="E89" i="9"/>
  <c r="C89" i="9"/>
  <c r="B89" i="9"/>
  <c r="G88" i="9"/>
  <c r="D88" i="9"/>
  <c r="H88" i="9"/>
  <c r="G86" i="9"/>
  <c r="D86" i="9"/>
  <c r="H86" i="9" s="1"/>
  <c r="G85" i="9"/>
  <c r="H85" i="9" s="1"/>
  <c r="D85" i="9"/>
  <c r="G84" i="9"/>
  <c r="D84" i="9"/>
  <c r="G83" i="9"/>
  <c r="D83" i="9"/>
  <c r="H83" i="9"/>
  <c r="G82" i="9"/>
  <c r="H82" i="9" s="1"/>
  <c r="D82" i="9"/>
  <c r="G81" i="9"/>
  <c r="D81" i="9"/>
  <c r="H81" i="9"/>
  <c r="G80" i="9"/>
  <c r="D80" i="9"/>
  <c r="G79" i="9"/>
  <c r="D79" i="9"/>
  <c r="H79" i="9"/>
  <c r="G78" i="9"/>
  <c r="D78" i="9"/>
  <c r="H78" i="9" s="1"/>
  <c r="G77" i="9"/>
  <c r="D77" i="9"/>
  <c r="H77" i="9"/>
  <c r="G76" i="9"/>
  <c r="D76" i="9"/>
  <c r="H76" i="9"/>
  <c r="G75" i="9"/>
  <c r="G89" i="9" s="1"/>
  <c r="D75" i="9"/>
  <c r="H75" i="9" s="1"/>
  <c r="G74" i="9"/>
  <c r="H74" i="9" s="1"/>
  <c r="D74" i="9"/>
  <c r="G73" i="9"/>
  <c r="D73" i="9"/>
  <c r="G56" i="9"/>
  <c r="D56" i="9"/>
  <c r="H56" i="9"/>
  <c r="F68" i="9"/>
  <c r="E68" i="9"/>
  <c r="C68" i="9"/>
  <c r="B68" i="9"/>
  <c r="G67" i="9"/>
  <c r="D67" i="9"/>
  <c r="G65" i="9"/>
  <c r="D65" i="9"/>
  <c r="H65" i="9" s="1"/>
  <c r="G64" i="9"/>
  <c r="D64" i="9"/>
  <c r="H64" i="9"/>
  <c r="G63" i="9"/>
  <c r="H63" i="9" s="1"/>
  <c r="D63" i="9"/>
  <c r="G62" i="9"/>
  <c r="D62" i="9"/>
  <c r="H62" i="9" s="1"/>
  <c r="G61" i="9"/>
  <c r="D61" i="9"/>
  <c r="H61" i="9" s="1"/>
  <c r="G60" i="9"/>
  <c r="D60" i="9"/>
  <c r="H60" i="9" s="1"/>
  <c r="G59" i="9"/>
  <c r="D59" i="9"/>
  <c r="H59" i="9" s="1"/>
  <c r="G58" i="9"/>
  <c r="D58" i="9"/>
  <c r="H58" i="9" s="1"/>
  <c r="G57" i="9"/>
  <c r="D57" i="9"/>
  <c r="H57" i="9" s="1"/>
  <c r="G55" i="9"/>
  <c r="D55" i="9"/>
  <c r="G54" i="9"/>
  <c r="D54" i="9"/>
  <c r="G53" i="9"/>
  <c r="D53" i="9"/>
  <c r="D68" i="9" s="1"/>
  <c r="G52" i="9"/>
  <c r="G68" i="9" s="1"/>
  <c r="D52" i="9"/>
  <c r="F26" i="9"/>
  <c r="E26" i="9"/>
  <c r="C26" i="9"/>
  <c r="B26" i="9"/>
  <c r="H54" i="9"/>
  <c r="H97" i="9"/>
  <c r="H33" i="9"/>
  <c r="H32" i="9"/>
  <c r="H36" i="9"/>
  <c r="H103" i="9"/>
  <c r="H67" i="9"/>
  <c r="H73" i="9"/>
  <c r="H94" i="9"/>
  <c r="H101" i="9"/>
  <c r="H55" i="9"/>
  <c r="H80" i="9"/>
  <c r="H98" i="9"/>
  <c r="H84" i="9"/>
  <c r="H102" i="9"/>
  <c r="H95" i="9"/>
  <c r="H52" i="9"/>
  <c r="G10" i="9"/>
  <c r="D10" i="9"/>
  <c r="H10" i="9"/>
  <c r="G25" i="9"/>
  <c r="D25" i="9"/>
  <c r="G23" i="9"/>
  <c r="D23" i="9"/>
  <c r="G22" i="9"/>
  <c r="H22" i="9" s="1"/>
  <c r="D22" i="9"/>
  <c r="G21" i="9"/>
  <c r="D21" i="9"/>
  <c r="H21" i="9"/>
  <c r="G20" i="9"/>
  <c r="D20" i="9"/>
  <c r="G19" i="9"/>
  <c r="D19" i="9"/>
  <c r="G18" i="9"/>
  <c r="D18" i="9"/>
  <c r="H18" i="9" s="1"/>
  <c r="G17" i="9"/>
  <c r="D17" i="9"/>
  <c r="H17" i="9"/>
  <c r="G15" i="9"/>
  <c r="D15" i="9"/>
  <c r="G13" i="9"/>
  <c r="D13" i="9"/>
  <c r="D26" i="9" s="1"/>
  <c r="G12" i="9"/>
  <c r="H12" i="9" s="1"/>
  <c r="D12" i="9"/>
  <c r="G11" i="9"/>
  <c r="G26" i="9" s="1"/>
  <c r="D11" i="9"/>
  <c r="H11" i="9" s="1"/>
  <c r="H15" i="9"/>
  <c r="H20" i="9"/>
  <c r="H25" i="9"/>
  <c r="H13" i="9"/>
  <c r="H19" i="9"/>
  <c r="H23" i="9"/>
  <c r="A1" i="9"/>
  <c r="A2" i="9"/>
  <c r="A2" i="2"/>
  <c r="I15" i="5" l="1"/>
  <c r="D19" i="21"/>
  <c r="E19" i="21"/>
  <c r="G19" i="21"/>
  <c r="F50" i="5"/>
  <c r="F16" i="34" s="1"/>
  <c r="I16" i="34" s="1"/>
  <c r="L50" i="5"/>
  <c r="J50" i="5"/>
  <c r="H16" i="34" s="1"/>
  <c r="J16" i="34" s="1"/>
  <c r="H6" i="5"/>
  <c r="F8" i="34"/>
  <c r="G8" i="34" s="1"/>
  <c r="F7" i="2"/>
  <c r="R7" i="2"/>
  <c r="H7" i="2"/>
  <c r="J7" i="2"/>
  <c r="D20" i="2"/>
  <c r="R20" i="2"/>
  <c r="D12" i="2"/>
  <c r="R12" i="2"/>
  <c r="D19" i="2"/>
  <c r="R19" i="2"/>
  <c r="D10" i="2"/>
  <c r="R10" i="2"/>
  <c r="D17" i="2"/>
  <c r="R17" i="2"/>
  <c r="D11" i="2"/>
  <c r="R11" i="2"/>
  <c r="D18" i="2"/>
  <c r="R18" i="2"/>
  <c r="D16" i="2"/>
  <c r="R16" i="2"/>
  <c r="D8" i="2"/>
  <c r="R8" i="2"/>
  <c r="D14" i="2"/>
  <c r="R14" i="2"/>
  <c r="D15" i="2"/>
  <c r="R15" i="2"/>
  <c r="D13" i="2"/>
  <c r="R13" i="2"/>
  <c r="B41" i="28"/>
  <c r="H41" i="28" s="1"/>
  <c r="I41" i="28" s="1"/>
  <c r="H10" i="2"/>
  <c r="B52" i="28"/>
  <c r="J8" i="2"/>
  <c r="B28" i="28"/>
  <c r="H28" i="28" s="1"/>
  <c r="I28" i="28" s="1"/>
  <c r="F10" i="2"/>
  <c r="B39" i="28"/>
  <c r="H8" i="2"/>
  <c r="B26" i="28"/>
  <c r="H26" i="28" s="1"/>
  <c r="I26" i="28" s="1"/>
  <c r="F8" i="2"/>
  <c r="B27" i="28"/>
  <c r="H27" i="28" s="1"/>
  <c r="I27" i="28" s="1"/>
  <c r="F9" i="2"/>
  <c r="B54" i="28"/>
  <c r="H54" i="28" s="1"/>
  <c r="I54" i="28" s="1"/>
  <c r="J10" i="2"/>
  <c r="B53" i="28"/>
  <c r="H53" i="28" s="1"/>
  <c r="I53" i="28" s="1"/>
  <c r="J9" i="2"/>
  <c r="B40" i="28"/>
  <c r="H40" i="28" s="1"/>
  <c r="I40" i="28" s="1"/>
  <c r="H9" i="2"/>
  <c r="B14" i="28"/>
  <c r="H14" i="28" s="1"/>
  <c r="I14" i="28" s="1"/>
  <c r="D9" i="2"/>
  <c r="B13" i="28"/>
  <c r="H13" i="28" s="1"/>
  <c r="I13" i="28" s="1"/>
  <c r="B12" i="28"/>
  <c r="H12" i="28" s="1"/>
  <c r="I12" i="28" s="1"/>
  <c r="D7" i="2"/>
  <c r="E22" i="2"/>
  <c r="H22" i="2" s="1"/>
  <c r="G22" i="2"/>
  <c r="J22" i="2" s="1"/>
  <c r="B15" i="28"/>
  <c r="H15" i="28" s="1"/>
  <c r="I15" i="28" s="1"/>
  <c r="B21" i="2"/>
  <c r="B22" i="2"/>
  <c r="G21" i="2"/>
  <c r="J21" i="2" s="1"/>
  <c r="E21" i="2"/>
  <c r="H21" i="2" s="1"/>
  <c r="C22" i="2"/>
  <c r="F22" i="2" s="1"/>
  <c r="C21" i="2"/>
  <c r="F21" i="2" s="1"/>
  <c r="H26" i="9"/>
  <c r="H110" i="9"/>
  <c r="H89" i="9"/>
  <c r="D89" i="9"/>
  <c r="H53" i="9"/>
  <c r="H68" i="9" s="1"/>
  <c r="H38" i="9"/>
  <c r="H47" i="9" s="1"/>
  <c r="F19" i="21"/>
  <c r="B51" i="28"/>
  <c r="C33" i="2"/>
  <c r="F33" i="2" s="1"/>
  <c r="B38" i="28"/>
  <c r="B25" i="28"/>
  <c r="H25" i="28" s="1"/>
  <c r="I25" i="28" s="1"/>
  <c r="G33" i="2"/>
  <c r="B29" i="28"/>
  <c r="H29" i="28" s="1"/>
  <c r="I29" i="28" s="1"/>
  <c r="B17" i="28"/>
  <c r="H17" i="28" s="1"/>
  <c r="I17" i="28" s="1"/>
  <c r="B56" i="28"/>
  <c r="H56" i="28" s="1"/>
  <c r="I56" i="28" s="1"/>
  <c r="E33" i="2"/>
  <c r="B30" i="28"/>
  <c r="H30" i="28" s="1"/>
  <c r="I30" i="28" s="1"/>
  <c r="B42" i="28"/>
  <c r="H42" i="28" s="1"/>
  <c r="I42" i="28" s="1"/>
  <c r="B16" i="28"/>
  <c r="H16" i="28" s="1"/>
  <c r="I16" i="28" s="1"/>
  <c r="B43" i="28"/>
  <c r="H43" i="28" s="1"/>
  <c r="I43" i="28" s="1"/>
  <c r="B55" i="28"/>
  <c r="H55" i="28" s="1"/>
  <c r="I55" i="28" s="1"/>
  <c r="B33" i="2"/>
  <c r="D33" i="2" s="1"/>
  <c r="E14" i="5"/>
  <c r="I31" i="5"/>
  <c r="E49" i="5"/>
  <c r="E15" i="5"/>
  <c r="E13" i="5"/>
  <c r="E31" i="5"/>
  <c r="I12" i="5"/>
  <c r="I49" i="5"/>
  <c r="H52" i="28" l="1"/>
  <c r="I52" i="28" s="1"/>
  <c r="H51" i="28"/>
  <c r="I51" i="28" s="1"/>
  <c r="H38" i="28"/>
  <c r="I38" i="28" s="1"/>
  <c r="H39" i="28"/>
  <c r="I39" i="28" s="1"/>
  <c r="L16" i="34"/>
  <c r="J14" i="34"/>
  <c r="H33" i="2"/>
  <c r="L6" i="5"/>
  <c r="P8" i="34" s="1"/>
  <c r="R8" i="34" s="1"/>
  <c r="S8" i="34" s="1"/>
  <c r="H8" i="34"/>
  <c r="E50" i="5"/>
  <c r="F15" i="34" s="1"/>
  <c r="I50" i="5"/>
  <c r="H15" i="34" s="1"/>
  <c r="H14" i="34" s="1"/>
  <c r="D22" i="2"/>
  <c r="R22" i="2"/>
  <c r="D21" i="2"/>
  <c r="R21" i="2"/>
  <c r="R26" i="2"/>
  <c r="B18" i="28"/>
  <c r="B31" i="28"/>
  <c r="B44" i="28"/>
  <c r="C38" i="28" s="1"/>
  <c r="H44" i="28"/>
  <c r="I44" i="28" s="1"/>
  <c r="F9" i="34" s="1"/>
  <c r="H18" i="28"/>
  <c r="I18" i="28" s="1"/>
  <c r="C9" i="34" s="1"/>
  <c r="R9" i="34" s="1"/>
  <c r="S9" i="34" s="1"/>
  <c r="H57" i="28"/>
  <c r="I57" i="28" s="1"/>
  <c r="H9" i="34" s="1"/>
  <c r="K9" i="34" s="1"/>
  <c r="H31" i="28"/>
  <c r="I31" i="28" s="1"/>
  <c r="D9" i="34" s="1"/>
  <c r="G9" i="34" s="1"/>
  <c r="B57" i="28"/>
  <c r="C52" i="28" s="1"/>
  <c r="D52" i="28" s="1"/>
  <c r="C51" i="28" l="1"/>
  <c r="I9" i="34"/>
  <c r="C57" i="28"/>
  <c r="D57" i="28" s="1"/>
  <c r="D51" i="28"/>
  <c r="J51" i="28"/>
  <c r="K51" i="28" s="1"/>
  <c r="D38" i="28"/>
  <c r="J38" i="28"/>
  <c r="K38" i="28" s="1"/>
  <c r="C39" i="28"/>
  <c r="D39" i="28" s="1"/>
  <c r="N16" i="34"/>
  <c r="L14" i="34"/>
  <c r="J8" i="34"/>
  <c r="L8" i="34"/>
  <c r="L13" i="34" s="1"/>
  <c r="N8" i="34"/>
  <c r="N12" i="34" s="1"/>
  <c r="R15" i="34"/>
  <c r="F14" i="34"/>
  <c r="G14" i="34" s="1"/>
  <c r="P13" i="34"/>
  <c r="R13" i="34" s="1"/>
  <c r="S13" i="34" s="1"/>
  <c r="P12" i="34"/>
  <c r="R12" i="34" s="1"/>
  <c r="S12" i="34" s="1"/>
  <c r="H13" i="34"/>
  <c r="H12" i="34"/>
  <c r="F13" i="34"/>
  <c r="G13" i="34" s="1"/>
  <c r="I8" i="34"/>
  <c r="F12" i="34"/>
  <c r="K15" i="34"/>
  <c r="I15" i="34"/>
  <c r="E9" i="34"/>
  <c r="D26" i="2"/>
  <c r="G10" i="34"/>
  <c r="H26" i="2"/>
  <c r="K10" i="34"/>
  <c r="J11" i="34"/>
  <c r="J26" i="2"/>
  <c r="F26" i="2"/>
  <c r="C44" i="28" l="1"/>
  <c r="P16" i="34"/>
  <c r="P14" i="34" s="1"/>
  <c r="R14" i="34" s="1"/>
  <c r="S14" i="34" s="1"/>
  <c r="N14" i="34"/>
  <c r="Q8" i="34"/>
  <c r="N13" i="34"/>
  <c r="Q13" i="34" s="1"/>
  <c r="L12" i="34"/>
  <c r="O12" i="34" s="1"/>
  <c r="J13" i="34"/>
  <c r="M13" i="34" s="1"/>
  <c r="M8" i="34"/>
  <c r="J12" i="34"/>
  <c r="K8" i="34"/>
  <c r="Q12" i="34"/>
  <c r="O8" i="34"/>
  <c r="I13" i="34"/>
  <c r="I12" i="34"/>
  <c r="G12" i="34"/>
  <c r="F17" i="34"/>
  <c r="G17" i="34" s="1"/>
  <c r="I14" i="34"/>
  <c r="M11" i="34"/>
  <c r="H11" i="34"/>
  <c r="D11" i="34"/>
  <c r="E10" i="34"/>
  <c r="I10" i="34"/>
  <c r="F11" i="34"/>
  <c r="M12" i="34" l="1"/>
  <c r="K13" i="34"/>
  <c r="O13" i="34"/>
  <c r="K12" i="34"/>
  <c r="G11" i="34"/>
  <c r="R11" i="34"/>
  <c r="F18" i="34"/>
  <c r="H17" i="34"/>
  <c r="H18" i="34" s="1"/>
  <c r="K14" i="34"/>
  <c r="K11" i="34"/>
  <c r="I11" i="34"/>
  <c r="I18" i="34" l="1"/>
  <c r="H25" i="34"/>
  <c r="H36" i="34"/>
  <c r="F36" i="34"/>
  <c r="G36" i="34" s="1"/>
  <c r="F25" i="34"/>
  <c r="H24" i="34"/>
  <c r="H35" i="34"/>
  <c r="F24" i="34"/>
  <c r="F35" i="34"/>
  <c r="H34" i="34"/>
  <c r="G18" i="34"/>
  <c r="F34" i="34"/>
  <c r="J17" i="34"/>
  <c r="K17" i="34" s="1"/>
  <c r="M14" i="34"/>
  <c r="I17" i="34"/>
  <c r="I35" i="34" l="1"/>
  <c r="G35" i="34"/>
  <c r="I34" i="34"/>
  <c r="G34" i="34"/>
  <c r="I25" i="34"/>
  <c r="G25" i="34"/>
  <c r="I24" i="34"/>
  <c r="G24" i="34"/>
  <c r="H37" i="34"/>
  <c r="I36" i="34"/>
  <c r="F37" i="34"/>
  <c r="L17" i="34"/>
  <c r="M17" i="34" s="1"/>
  <c r="J18" i="34"/>
  <c r="O14" i="34"/>
  <c r="I37" i="34" l="1"/>
  <c r="G37" i="34"/>
  <c r="J25" i="34"/>
  <c r="J36" i="34"/>
  <c r="K36" i="34" s="1"/>
  <c r="K18" i="34"/>
  <c r="J24" i="34"/>
  <c r="J35" i="34"/>
  <c r="J34" i="34"/>
  <c r="N17" i="34"/>
  <c r="O17" i="34" s="1"/>
  <c r="L18" i="34"/>
  <c r="Q14" i="34"/>
  <c r="K35" i="34" l="1"/>
  <c r="K34" i="34"/>
  <c r="K25" i="34"/>
  <c r="K24" i="34"/>
  <c r="J37" i="34"/>
  <c r="L24" i="34"/>
  <c r="L35" i="34"/>
  <c r="L34" i="34"/>
  <c r="M18" i="34"/>
  <c r="L36" i="34"/>
  <c r="M36" i="34" s="1"/>
  <c r="L25" i="34"/>
  <c r="P17" i="34"/>
  <c r="Q17" i="34" s="1"/>
  <c r="N18" i="34"/>
  <c r="M35" i="34" l="1"/>
  <c r="M34" i="34"/>
  <c r="M25" i="34"/>
  <c r="M24" i="34"/>
  <c r="N25" i="34"/>
  <c r="N36" i="34"/>
  <c r="O36" i="34" s="1"/>
  <c r="K37" i="34"/>
  <c r="N24" i="34"/>
  <c r="N35" i="34"/>
  <c r="N34" i="34"/>
  <c r="P18" i="34"/>
  <c r="R17" i="34"/>
  <c r="S17" i="34" s="1"/>
  <c r="L37" i="34"/>
  <c r="O18" i="34"/>
  <c r="O35" i="34" l="1"/>
  <c r="O34" i="34"/>
  <c r="O25" i="34"/>
  <c r="O24" i="34"/>
  <c r="P36" i="34"/>
  <c r="Q36" i="34" s="1"/>
  <c r="P25" i="34"/>
  <c r="N37" i="34"/>
  <c r="M37" i="34"/>
  <c r="P24" i="34"/>
  <c r="P35" i="34"/>
  <c r="P34" i="34"/>
  <c r="R18" i="34"/>
  <c r="S18" i="34" s="1"/>
  <c r="Q18" i="34"/>
  <c r="S36" i="34" l="1"/>
  <c r="R36" i="34"/>
  <c r="R35" i="34"/>
  <c r="S35" i="34"/>
  <c r="Q35" i="34"/>
  <c r="S34" i="34"/>
  <c r="R34" i="34"/>
  <c r="Q34" i="34"/>
  <c r="S25" i="34"/>
  <c r="R25" i="34"/>
  <c r="Q25" i="34"/>
  <c r="S24" i="34"/>
  <c r="R24" i="34"/>
  <c r="Q24" i="34"/>
  <c r="P37" i="34"/>
  <c r="O37" i="34"/>
  <c r="Q37" i="34" l="1"/>
  <c r="R37" i="34"/>
  <c r="S37" i="34"/>
  <c r="D44" i="28" l="1"/>
</calcChain>
</file>

<file path=xl/sharedStrings.xml><?xml version="1.0" encoding="utf-8"?>
<sst xmlns="http://schemas.openxmlformats.org/spreadsheetml/2006/main" count="764" uniqueCount="384">
  <si>
    <t xml:space="preserve">INSTRUCTIONS FOR SUBMITTING 2023 INSTITUTIONAL SIX-YEAR PLAN </t>
  </si>
  <si>
    <t>Due Date: July 17, 2023</t>
  </si>
  <si>
    <t xml:space="preserve">PLEASE READ INSTRUCTIONS CAREFULLY </t>
  </si>
  <si>
    <t>Six-year Plan Requirement</t>
  </si>
  <si>
    <t xml:space="preserve">The Higher Education Opportunity Act of 2011 (TJ21) requires Virginia’s public institutions of higher education to prepare and submit six-year plans.  (See below for complete  code reference.)  During the 2015 General Assembly session, joint resolutions approved by the House (HJR 555) and Senate (SJ 228) also require that the mission, vision, goals, and strategies expressed in the Virginia Plan, the statewide strategic plan, guide the development of the strategic plan and six-year plan at each public institution of higher education, as well as the agency plan for SCHEV, and that SCHEV report annually on the Commonwealth's progress toward achieving these goals and targets to the Governor, General Assembly, institutions of higher education and the public.  </t>
  </si>
  <si>
    <t>2023 Six-Year Plan Format</t>
  </si>
  <si>
    <r>
      <t xml:space="preserve">The 2023 Six-Year Plan consists of a workbook and an accompanying narrative.  The workbook has an Instructions page, Institution ID page and eight parts/worksheets: Enrollment, Undergraduate Tuition and Fee Increase Rates, Revenue, Financial Aid, Academic-Financial, General Fund (GF) Request, and Pro Forma.  </t>
    </r>
    <r>
      <rPr>
        <b/>
        <sz val="11"/>
        <rFont val="Arial"/>
        <family val="2"/>
      </rPr>
      <t>Note: Shaded cells contain formulas.</t>
    </r>
    <r>
      <rPr>
        <sz val="11"/>
        <rFont val="Arial"/>
        <family val="2"/>
      </rPr>
      <t xml:space="preserve"> Instructions for the narrative are provided in a separate attachment.  Though the Enrollment/Degree Projections are being developed in a separate process, institutions are required to provide a summary of enrollment projections in Tab 1 so they can be considered as part of the six-year planning process alongside the financial projections and pro forma analysis. </t>
    </r>
  </si>
  <si>
    <r>
      <t xml:space="preserve">The 2023 Six-Year Plans are due July 17, 2023.  The review group (referred to as Op Six) as outlined in § 23.1-306 - see Legislative Reference section below - will meet with each institution in August to review the institution's plan and provide comments. If changes to the plans are recommended, revised institutional submissions are </t>
    </r>
    <r>
      <rPr>
        <sz val="11"/>
        <color theme="1"/>
        <rFont val="Arial"/>
        <family val="2"/>
      </rPr>
      <t>due no later than October 1 or immediately following an institution's Board of Visitors' meeting, if it is later than October 1.</t>
    </r>
  </si>
  <si>
    <t>INSTRUCTIONS FOR SECTIONS</t>
  </si>
  <si>
    <t>1. Undergraduate Tuition and Fee Increase Rate Plan</t>
  </si>
  <si>
    <t>Provide annual planned increases in undergraduate tuition and mandatory E&amp;G fees and mandatory non-E&amp;G fees for both in-state and out-of-state students in 2024-26 biennium. The tuition and fee charges for in-state undergraduate students should reflect the institution's estimate of reasonable and necessary charges to students based on the mission, market capacity and other factors with the assumption of no new state general fund support.</t>
  </si>
  <si>
    <t>2. Revenue</t>
  </si>
  <si>
    <r>
      <rPr>
        <u/>
        <sz val="11"/>
        <rFont val="Arial"/>
        <family val="2"/>
      </rPr>
      <t>For FY2023- FY2026</t>
    </r>
    <r>
      <rPr>
        <sz val="11"/>
        <rFont val="Arial"/>
        <family val="2"/>
      </rPr>
      <t>: Based on assumptions of no new general fund, enrollment changes and other institution-specific conditions, provide total collected or projected to collect revenues (after discounts and waivers) by student level and domicile (including tuition revenue used for financial aid), and other NGF revenue for educational and general (E&amp;G) programs; and mandatory non-E&amp;G fee revenues from in-state undergraduates and other students as well as the total auxiliary revenue. DO NOT INCLUDE STIMULUS FUNDS. In line 25, enter E&amp;G GF revenues for the current bienium. The formulas will automatically hold that constant for the remaining years.</t>
    </r>
  </si>
  <si>
    <r>
      <rPr>
        <u/>
        <sz val="11"/>
        <rFont val="Arial"/>
        <family val="2"/>
      </rPr>
      <t>For 2027-FY2030</t>
    </r>
    <r>
      <rPr>
        <sz val="11"/>
        <rFont val="Arial"/>
        <family val="2"/>
      </rPr>
      <t>: Provide a pro forma analysis of total tuition revenue in years 2026-2030 by holding T&amp;F constant at the planned 2025-26 rate while incorporating your institution's submitted enrollment projections for each year through 2030. These columns are NOT meant to be a projection and do NOT make any assumption about GF support. The calculations will be used to support the pro forma analysis in tab 5.</t>
    </r>
  </si>
  <si>
    <t>3. Financial Aid</t>
  </si>
  <si>
    <t xml:space="preserve">Provide a breakdown of the projected source and distribution of tuition and fee revenue redirected to financial aid. To ensure compliance with the state prohibition that in-state students not subsidize out-of-state students and to provide the review group with a scope of the strategy, projections must be made for each of the indicated categories. Please be aware that this data will be compared with similar data provided by other institutional offices in order to ensure overall consistency. (Please do not alter shaded cells that contain formulas.)  "Other Discounts and Waiver" means the totals of any unfunded full or partial tuition waiver reducing the students' charges, including Virginia Military Survivors and Dependent Education Program and the Senior Citizens Tuition Waiver. Do not include the tuition differential for the tuition exceptions. Note:  If you do not have actual amounts for Tuition Revenue for Financial Aid by student category, please provide an estimate.  If values are not distributed for Tuition Revenue for Financial Aid, a distribution may be calculated for your institution.  </t>
  </si>
  <si>
    <t>4. Academic-Financial Plan</t>
  </si>
  <si>
    <t xml:space="preserve">Instructions: The Academic Plan should contain academic, finance, and support service strategies the institution intends to employ in meeting state needs/goals as found in the Virginia Plan. (Please see the main instructions sheet in this workbook for more detailed information about The Virginia Plan. Please provide short titles to identify institutional strategies and other expenditure increases. Provide a concise description in the "Notes" column (column O), including a % increase where relevant and a specific reference as to where more detailed information can be found in the Narrative document.
Complete the lines appropriate to your institution, adding lines within the relevant categories as needed. As completely as possible, the items should represent a complete picture of your anticipated use of projected tuition revenues and strategic focus areas. Categories are listed in bold; you may not change the categories but you may add lines where indicated. Please update total cost formulas if necessary. For every line, the total amount and the sum of the reallocation and tuition revenue (and GF when indicated) should equal one another. 
Funding amounts in the first year should be incremental. However, if the costs continue into the second year and beyond, they should be reflected cumulatively (i.e. cost increases vs. 2023-24). Please update total cost formulas if necessary. Institutions should assume no general fund (GF) support in 2024-26 in this worksheet other than for salaries, health insurance and VITA charges per the instructions below. A separate worksheet (Part 6) is provided for institutions to request additional GF support for 2024-26. Strategies for student financial aid, other than those that are provided through tuition revenue, should not be included on this table; they should be included in Part 6, General Fund Request, of the plan.
Also, given the long standing practice that agencies should not assume general fund support for operation and maintenance (O&amp;M) of new facilities, O&amp;M strategies should not be included in an institution's plan, unless they are completely supported by tuition revenue.
Lines 5 and 6 are newly added to collect the estimated E&amp;G expenditures of 2022-23 and 2023-24 as baselines for Tab 5 Pro Forma.     </t>
  </si>
  <si>
    <t>For the 2026-28 bienium and 2028-2030 bienium, total amounts should be provided as estimates of future expenditures on these items but delineation of reallocation vs. tuition revenue vs. GF does not need to be provided by the institution.
Funding amounts shall assume an annual 2% salary increase for each year from FY2025 to FY2030 for those employees eligible for the state-supported salary increases in the 2022-2024 biennium. Funding amounts shall also assume an annual 3% health insurance increase and a 5.36% VITA cost increase. Institutions shall calculate the GF portion of these increases in columns H and L using the appropriate fund share, which can be found in Tab 4b. If an institution plans to use its own funds to provide additional salary increases, add lines below the "increased fringe benefits costs" and specify salary amount by employee type and associated fringe benefit costs, but do not put any dollar amount in Columns H and L.
NOTE: In light of ongoing budget negotiations, please complete the template assuming only what has already been signed into law as the baseline 2022-23 and 2023-24 appropriation. In the event that a new budget results in additional funding for institutions in 2023-24, OpSix will provide guidance at that time on whether and how to modify or resubmit plans.</t>
  </si>
  <si>
    <r>
      <rPr>
        <b/>
        <i/>
        <sz val="11"/>
        <rFont val="Arial"/>
        <family val="2"/>
      </rPr>
      <t>Pathways to Opportunity: The Virginia Plan for Higher Education.</t>
    </r>
    <r>
      <rPr>
        <sz val="11"/>
        <rFont val="Arial"/>
        <family val="2"/>
      </rPr>
      <t xml:space="preserve"> In the column labeled "VP Goal," identify the goal of the The Virginia Plan (VP) that applies to each institutional strategy using the appropriate number (i.e., 1, 2, or 3).  The three VP goals are listed below.  In the Narrative document (Section B), institutions should provide more detailed information.</t>
    </r>
  </si>
  <si>
    <r>
      <rPr>
        <sz val="12"/>
        <color rgb="FF000000"/>
        <rFont val="Arial"/>
        <family val="2"/>
      </rPr>
      <t xml:space="preserve">The Virginia Plan has three major goals (please refer to the Plan at </t>
    </r>
    <r>
      <rPr>
        <b/>
        <sz val="12"/>
        <color rgb="FF000000"/>
        <rFont val="Arial"/>
        <family val="2"/>
      </rPr>
      <t>https://www.schev.edu/research-publications/strategic-plan</t>
    </r>
    <r>
      <rPr>
        <sz val="12"/>
        <color rgb="FF000000"/>
        <rFont val="Arial"/>
        <family val="2"/>
      </rPr>
      <t xml:space="preserve"> for more information about the strategies under each goal):</t>
    </r>
  </si>
  <si>
    <t>GOAL 1 EQUITABLE: CLOSE ACCESS AND COMPLETION GAPS.</t>
  </si>
  <si>
    <t>GOAL 2 AFFORDABLE: LOWER COSTS TO STUDENTS.</t>
  </si>
  <si>
    <t>GOAL 3 TRANSFORMATIVE: EXPAND PROSPERITY.</t>
  </si>
  <si>
    <t>5. Six-Year Pro Forma Calculations</t>
  </si>
  <si>
    <t>Instructions: No new data needs to be added on this tab; it is entirely comprised by formulas. The top section pulls in data from the previous tabs to calculate a pro forma budget surplus/deficit for the 6 years. The following section calculates what T&amp;F (price) and GF increases would theoretically need to occur each year in order to cover the deficit and maintain the 2022-23 GF/NGF split. At the bottom is a blended scenario calculator that a user can leverage to calculate custom "shared" scenarios where deficits can be covered by a combination of expenditure reduction, T&amp;F increases, and GF increases. Cells D28:30 should be set by the user (so long as they add up to 100%) and the results will flow into the rows below that automatically. This analysis is intended to be directional and pro forma; it is not intended to be interpreted as a projection or plan/budget of any kind.
Note: this pro forma does not include any of the additional GF requests in the following tab; those requests would require GF funding on top of what is calculated in this tab. It does account for the salary/health insurance/VITA increases from tab 4, including the corresponding GF increases.</t>
  </si>
  <si>
    <t>6. General Fund (GF) Request</t>
  </si>
  <si>
    <t>Instructions: Indicate items for which you anticipate making a request for state general fund in the 2024-26 biennium. The item can be a supplement to a strategy or item from the academic and financial plan or it can be a free-standing request for which no tuition revenue would be used. If it is a supplement to a strategy or item from the academic and financial plan, use the same title used in Part 4 and place it in bold print to draw attention to its connection to Part 6. Also, describe in the Notes column how additional general fund will enhance or expand the strategy. Requests for need-based financial aid appropriated in program 108 should be included here. If additional rows are added, please update the total costs formulas.
NOTE: In light of ongoing budget negotiations, please complete the template assuming only what has already been signed into law as the baseline 2022-23 and 2023-24 appropriation. In the event that a new budget results in additional funding for institutions in 2023-24, OpSix will provide guidance at that time on whether and how to modify or resubmit plans.</t>
  </si>
  <si>
    <r>
      <rPr>
        <b/>
        <sz val="11"/>
        <color rgb="FF000000"/>
        <rFont val="Arial"/>
        <family val="2"/>
      </rPr>
      <t xml:space="preserve">Enrollment/Degree Projections: </t>
    </r>
    <r>
      <rPr>
        <sz val="11"/>
        <color rgb="FF000000"/>
        <rFont val="Arial"/>
        <family val="2"/>
      </rPr>
      <t xml:space="preserve"> Detailed six-year enrollment/degree projections are being collected through a separate process.  These projections will be incorporated in the Six-Year Plan as part of the July and August institutional meetings with the Op Six.     </t>
    </r>
  </si>
  <si>
    <r>
      <rPr>
        <b/>
        <sz val="11"/>
        <color rgb="FF000000"/>
        <rFont val="Arial"/>
        <family val="2"/>
      </rPr>
      <t xml:space="preserve">BOV Approval:  </t>
    </r>
    <r>
      <rPr>
        <sz val="11"/>
        <color rgb="FF000000"/>
        <rFont val="Arial"/>
        <family val="2"/>
      </rPr>
      <t>Final board approval of the  Six-Year Plan should be done at the earliest possible fall meeting.  HB 897 (2018) specified that initial plans do not get posted on the General Assembly's website and that final plans should be submitted to DLAS no later than December 1.  However, we are requesting that  institutions submit final plans with their responses to Op Six Comments on October 1 (or as soon after fall board meetings as possible) as has been done in the past.  We post the responses and final plans for review by the Op Six for a period of time prior to posting to SCHEV's website.</t>
    </r>
  </si>
  <si>
    <r>
      <rPr>
        <b/>
        <sz val="11"/>
        <rFont val="Arial"/>
        <family val="2"/>
      </rPr>
      <t>Accessibility:</t>
    </r>
    <r>
      <rPr>
        <sz val="11"/>
        <rFont val="Arial"/>
        <family val="2"/>
      </rPr>
      <t xml:space="preserve">  All files need to be checked for accessibility prior to submitting them.  Information on accessibility is provided at this link on SCHEV's website: http://schev.edu/index/accessiblity/creating-accessible-content.  The first link, "How to Make Your MS Office Documents Accessible" can be used to learn how to check documents.  Only errors, not warnings, must be addressed. </t>
    </r>
  </si>
  <si>
    <t>Contacts for Questions:</t>
  </si>
  <si>
    <t xml:space="preserve">General Questions - Thomas Allison (tomallison@schev.edu) </t>
  </si>
  <si>
    <t>Academic - Joe DeFilippo (joedefilippo@schev.edu)</t>
  </si>
  <si>
    <t>Finance - Yan Zheng (yanzheng@schev.edu)</t>
  </si>
  <si>
    <t>Financial Aid - Lee Andes (leeandes@schev.edu)</t>
  </si>
  <si>
    <t>Enrollment/Degree Projections - Tod Massa (todmassa@schev.edu)</t>
  </si>
  <si>
    <t>Legislative Reference:</t>
  </si>
  <si>
    <t xml:space="preserve">§ 23.1 - 306. Institutional Six-Year Plans. </t>
  </si>
  <si>
    <t>A. The governing board of each public institution of higher education shall (i) develop and adopt biennially and amend or affirm annually a six-year plan for the institution;
(ii) submit such plan to the Council, the General Assembly, the Governor, and the Chairmen of the House Committee on Appropriations, the House Committee on Education, the Senate Committee on Education and Health, and the Senate Committee on Finance no later than July 1 of each odd-numbered year; and (iii) submit amendments to or an affirmation of that plan no later than July 1 of each even-numbered year or at any other time permitted by the Governor or General Assembly to the
Council, the General Assembly, the Governor, and the Chairmen of the House Committee on Appropriations, the House Committee on Education, the Senate Committee on Education and Health, and the Senate Committee on Finance. Each such plan and amendment to or affirmation of such plan shall include a report of the institution's active contributions to efforts to stimulate the economic development of the Commonwealth, the area in which the institution is located, and, for those institutions subject to a management agreement set forth in Article 4 (§ 23.1-1004 et seq.) of Chapter 10, the areas that lag behind the Commonwealth in terms of income, employment, and other factors.</t>
  </si>
  <si>
    <t>B. The Secretary of Finance, Secretary of Education, Director of the Department of Planning and Budget, Executive Director of the Council, Staff Director of the House Committee on Appropriations, and Staff Director of the Senate Committee on Finance, or their designees, shall review each institution’s plan or amendments and provide comments to the institution on that plan by September 1 of the relevant year. Each institution shall respond to any such comments by October 1 of that year.</t>
  </si>
  <si>
    <t>C. Each plan shall be structured in accordance with, and be consistent with, the objective and purposes of this chapter set forth in § 23.1-301 and the criteria developed pursuant to § 23.1-309 and shall be in a form and manner prescribed by the Council, in consultation with the Secretary of Finance, the Secretary of Education, the Director of the Department of Planning and Budget, the Director of the Council, the Staff Director of the House Committee on Appropriations, and the Staff Director of the Senate Committee on Finance, or their designees.</t>
  </si>
  <si>
    <t>D. Each six-year plan shall (i) address the institution's academic, financial, and enrollment plans, including the number of Virginia and non-Virginia students, for the six-year period; (ii) indicate the planned use of any projected increase in general fund, tuition, or other nongeneral fund revenues; (iii) be based upon any assumptions provided by the Council, following consultation with the Department of Planning and Budget and the staffs of the House Committee on Appropriations and the Senate Committee on Finance, for funding relating to state general fund support pursuant to §§ 23.1-303, 23.1-304, and 23.1-305 and subdivision 9; (iv) be aligned with the institution's six-year enrollment projections; and (v) include:</t>
  </si>
  <si>
    <t>1. Financial planning reflecting the institution's anticipated level of general fund, tuition, and other nongeneral fund support for each year of the next biennium;</t>
  </si>
  <si>
    <t>2. The institution's anticipated annual tuition and educational and general fee charges required by (i) degree level and (ii) domiciliary status, as provided in § 23.1-307;</t>
  </si>
  <si>
    <t>3. Plans for providing financial aid to help mitigate the impact of tuition and fee increases on low-income and middle-income students and their families as described in subdivision 9, including the projected mix of grants and loans;</t>
  </si>
  <si>
    <t>4. Degree conferral targets for undergraduate Virginia students;</t>
  </si>
  <si>
    <t>5. Plans for optimal year-round use of the institution's facilities and instructional resources;</t>
  </si>
  <si>
    <t>6. Plans for the development of an instructional resource-sharing program with other public institutions of higher education and private institutions of higher education;</t>
  </si>
  <si>
    <t>7. Plans with regard to any other incentives set forth in § 23.1-305 or any other matters the institution deems appropriate;</t>
  </si>
  <si>
    <t>8. The identification of (i) new programs or initiatives including quality improvements and (ii) institution-specific funding based on particular state policies or institution-specific programs, or both, as provided in subsection C of § 23.1-307;and</t>
  </si>
  <si>
    <t>9. An institutional student financial aid commitment that, in conjunction with general funds appropriated for that purpose, provides assistance to students from both low-income and middle-income families and takes into account the information and recommendations resulting from the review of federal and state financial aid programs and institutional practices conducted pursuant to subdivisions B 2 and C 1 of § 23.1-309.</t>
  </si>
  <si>
    <t xml:space="preserve">E. In developing such plans, each public institution of higher education shall consider potential future impacts of tuition increases on the Virginia College Savings Plan and ABLE Savings Trust Accounts (§ 23.1-700 et seq.) and shall discuss such potential impacts with the Virginia College Savings Plan. The chief executive officer of the Virginia College Savings Plan shall provide to each institution the Plan's assumptions underlying the contract pricing of the program. </t>
  </si>
  <si>
    <t>F. 1. In conjunction with the plans included in the six-year plan as set forth in subsection D, each public institution of higher education, Richard Bland College, and the Virginia Community College System may submit one innovative proposal with clearly defined performance measures, including any request for necessary authority or support from the Commonwealth, for a performance pilot. If the General Assembly approves the proposed performance pilot, it shall include approval language in the general appropriation act. A performance pilot shall advance the objectives of this chapter by addressing innovative requests related to college access, affordability, cost predictability, enrollment management subject to specified commitments regarding undergraduate in-state student enrollment, alternative tuition and fee structures and affordable pathways to degree attainment, internships and work study, employment pathways for undergraduate Virginia students, strategic talent development, state or regional economic development, pathways to increase timely degree completion, or other priorities set out in the general appropriation act.</t>
  </si>
  <si>
    <t>2. A performance pilot may include or constitute an institutional partnership performance agreement, which shall be set forth in a memorandum of understanding that includes mutually dependent commitments by the institution, the Commonwealth, and identified partners, if any, related to one or more of the priorities set forth in subdivision 1 or set forth in a general appropriation act. No such institutional partnership performance agreement shall create a legally enforceable obligation of the Commonwealth.</t>
  </si>
  <si>
    <t>3. No more than six performance pilots shall be approved in a single session of the General Assembly.</t>
  </si>
  <si>
    <t>4. Development and approval of any performance pilot proposal shall proceed in tandem with consideration of the institution's six-year plan, as follows:</t>
  </si>
  <si>
    <t>a. An institution that intends to propose a performance pilot shall communicate that intention as early as practicable, but not later than April 1 of the year in which the performance pilot will be proposed, to the reviewers listed in subsection B, the co-chairmen of the Joint Subcommittee on the Future Competitiveness of Virginia Higher Education, and the Governor. In developing a proposed performance pilot, the institution shall consider the Commonwealth's educational and economic policies and priorities, including those reflected in the Virginia Plan for Higher Education issued by the Council, the economic development policy developed pursuant to § 2.2-205, the strategic plan developed pursuant to § 2.2-2237.1, relevant regional economic growth and diversification plans prepared by regional councils pursuant to the Virginia Growth and Opportunity Act (§ 2.2-2484 et seq.), and any additional guidance provided by the Joint Subcommittee on the Future Competiveness of Virginia Higher Education and the Governor.</t>
  </si>
  <si>
    <t>b. An institution that submits a performance pilot shall include the one innovative proposal with clearly defined performance measures, and any corresponding authority and support requested from the Commonwealth, with its submission of the preliminary version of its six-year plan pursuant to clause (ii) of subsection A or with its preliminary amendment or affirmation submission pursuant to clause (iii) of subsection A.</t>
  </si>
  <si>
    <t>c. The reviewers listed in subsection B, or their designees, shall review and comment on any proposed performance pilot in accordance with the six-year plan review and comment process established in subsection B and may expedite such review and comment process to facilitate the executive and legislative budget process or for other reasons. No later than October 15 of the relevant year, the reviewers shall communicate to the Governor and the Chairmen of the House Committee on Appropriations and the Senate Committee on Finance their recommendations regarding each performance pilot proposal. Such recommendations shall include the reviewers' comments regarding how the proposed performance pilots, individually and collectively, support the strategic educational and economic policies of the Commonwealth.</t>
  </si>
  <si>
    <t>d. Each performance pilot proposal shall include evidence of its approval by the institution's governing board and, if accepted, shall be referenced in the general appropriation act.</t>
  </si>
  <si>
    <t>Six-Year Plans (2023): 2024-25 through 2029-30</t>
  </si>
  <si>
    <t>Due: July 15, 2023</t>
  </si>
  <si>
    <t>Institution:</t>
  </si>
  <si>
    <t>Institution UNITID:</t>
  </si>
  <si>
    <t>Individual responsible for plan</t>
  </si>
  <si>
    <t>Name(s) &amp; Title(s):</t>
  </si>
  <si>
    <t>Email address(es):</t>
  </si>
  <si>
    <t>Telephone number(s):</t>
  </si>
  <si>
    <t>Part 1: Undergraduate Tuition and Mandatory Fee Increase Plans in 2024-26 Biennium</t>
  </si>
  <si>
    <r>
      <t>Instructions:</t>
    </r>
    <r>
      <rPr>
        <i/>
        <sz val="12"/>
        <color theme="1"/>
        <rFont val="Arial"/>
        <family val="2"/>
      </rPr>
      <t xml:space="preserve"> Provide annual planned increases in undergraduate tuition and mandatory E&amp;G fees and mandatory non-E&amp;G fees for both in-state and out-of-state students in 2024-26 biennium. The tuition and fee charges for in-state undergraduate students should reflect the institution's estimate of reasonable and necessary charges to students based on the mission, market capacity and other factors with the assumption of no new state general fund support.</t>
    </r>
  </si>
  <si>
    <t>Undergraduate Tuition and Mandatory Fees</t>
  </si>
  <si>
    <t>2023-24</t>
  </si>
  <si>
    <t>2024-25</t>
  </si>
  <si>
    <t>2025-26</t>
  </si>
  <si>
    <t>Charge (BOV approved)</t>
  </si>
  <si>
    <t>Planned Charge</t>
  </si>
  <si>
    <t>% Increase</t>
  </si>
  <si>
    <t>In-State UG Tuition</t>
  </si>
  <si>
    <t>In-State UG Mandatory E&amp;G Fees</t>
  </si>
  <si>
    <t>In-State UG Mandatory non-E&amp;G Fees</t>
  </si>
  <si>
    <t>In-State UG Total</t>
  </si>
  <si>
    <t>Out-of-State UG Tuition</t>
  </si>
  <si>
    <t>Out-of-State UG Mandatory E&amp;G Fees</t>
  </si>
  <si>
    <t>Out-of-State UG Mandatory non-E&amp;G Fees</t>
  </si>
  <si>
    <t>Out-of-State UG Total</t>
  </si>
  <si>
    <t>Part 2: Revenue: 2022-23 through 2029-30</t>
  </si>
  <si>
    <r>
      <t xml:space="preserve">Instructions: Based on assumptions of no new general fund, enrollment changes and other institution-specific conditions, </t>
    </r>
    <r>
      <rPr>
        <sz val="12"/>
        <color rgb="FFFF0000"/>
        <rFont val="Arial"/>
        <family val="2"/>
      </rPr>
      <t xml:space="preserve">provide total collected or projected to collect revenues (after discounts and waivers) </t>
    </r>
    <r>
      <rPr>
        <sz val="12"/>
        <color theme="1"/>
        <rFont val="Arial"/>
        <family val="2"/>
      </rPr>
      <t>by student level and domicile (including tuition revenue used for financial aid), and other NGF revenue for educational and general (E&amp;G) programs; and mandatory non-E&amp;G fee revenues from in-state undergraduates and other students as well as the total auxiliary revenue. DO NOT INCLUDE STIMULUS FUNDS.
In line 25, enter E&amp;G GF revenues for the current bienium. The formulas will automatically hold that constant for the remaining years.
NOTE: In light of ongoing budget negotiations, please complete the template assuming only what has already been signed into law as the baseline 2022-23 and 2023-24 appropriation. In the event that a new budget results in additional funding for institutions in 2023-24, OpSix will provide guidance at that time on whether and how to modify or resubmit plans.</t>
    </r>
  </si>
  <si>
    <t>Instructions: Provide a pro forma analysis of total tuition revenue in years 2026-2030 by holding T&amp;F constant at the planned 2025-26 rate while incorporating your institution's submitted enrollment projections for each year through 2030. These columns are NOT meant to be a projection and do NOT make any assumption about GF support. The calculations will be used to support the pro forma analysis in tab 5.</t>
  </si>
  <si>
    <t xml:space="preserve">Items </t>
  </si>
  <si>
    <t>2022-2023 (Actual)</t>
  </si>
  <si>
    <t>2023-2024 (Estimated)</t>
  </si>
  <si>
    <t>2024-2025 (Planned)</t>
  </si>
  <si>
    <t>2025-2026 (Planned)</t>
  </si>
  <si>
    <t>2026-2027 (Pro Forma)</t>
  </si>
  <si>
    <t>2027-2028 (Pro Forma)</t>
  </si>
  <si>
    <t>2028-2029 (Pro Forma)</t>
  </si>
  <si>
    <t>2029-2030 (Pro Forma)</t>
  </si>
  <si>
    <t>Total Collected Tuition Revenue</t>
  </si>
  <si>
    <t>Chg</t>
  </si>
  <si>
    <t>Total Projected Tuition Revenue</t>
  </si>
  <si>
    <t>Total Calculated Tuition Revenue</t>
  </si>
  <si>
    <t>2022-2030 Chg</t>
  </si>
  <si>
    <t>CAGR</t>
  </si>
  <si>
    <t>E&amp;G Programs</t>
  </si>
  <si>
    <t>Undergraduate, In-State</t>
  </si>
  <si>
    <t>Undergraduate, Out-of-State</t>
  </si>
  <si>
    <t>Graduate, In-State</t>
  </si>
  <si>
    <t>Graduate, Out-of-State</t>
  </si>
  <si>
    <t>Law, In-State</t>
  </si>
  <si>
    <t>Law, Out-of-State</t>
  </si>
  <si>
    <t>Medicine, In-State</t>
  </si>
  <si>
    <t>Medicine, Out-of-State</t>
  </si>
  <si>
    <t>Dentistry, In-State</t>
  </si>
  <si>
    <t>Dentistry, Out-of-State</t>
  </si>
  <si>
    <t>PharmD, In-State</t>
  </si>
  <si>
    <t>PharmD, Out-of-State</t>
  </si>
  <si>
    <t>Veterinary Medicine, In-State</t>
  </si>
  <si>
    <t>Veterinary Medicine, Out-of-State</t>
  </si>
  <si>
    <t>First Professional, In-State (Total)</t>
  </si>
  <si>
    <t>First Professional, Out-of-State (Total)</t>
  </si>
  <si>
    <t>Other NGF</t>
  </si>
  <si>
    <t xml:space="preserve">Total E&amp;G NGF Revenue </t>
  </si>
  <si>
    <t>E&amp;G GF Revenue (assume flat after 2024)</t>
  </si>
  <si>
    <t xml:space="preserve">Total E&amp;G Revenue </t>
  </si>
  <si>
    <t>Auxiliary Revenue</t>
  </si>
  <si>
    <t>Total Revenue</t>
  </si>
  <si>
    <t xml:space="preserve">  In-State undergraduates</t>
  </si>
  <si>
    <t xml:space="preserve">  All Other students</t>
  </si>
  <si>
    <t xml:space="preserve">  Total non-E&amp;G fee revenue</t>
  </si>
  <si>
    <t>Total Auxiliary Revenue</t>
  </si>
  <si>
    <t>Part 3: Financial Aid Plan: 2022-23 through 2029-30</t>
  </si>
  <si>
    <r>
      <rPr>
        <b/>
        <i/>
        <sz val="11"/>
        <color theme="1"/>
        <rFont val="Arial"/>
        <family val="2"/>
      </rPr>
      <t>Instructions:</t>
    </r>
    <r>
      <rPr>
        <i/>
        <sz val="11"/>
        <color theme="1"/>
        <rFont val="Arial"/>
        <family val="2"/>
      </rPr>
      <t xml:space="preserve"> Provide a breakdown of the projected source and distribution of tuition and fee revenue redirected to financial aid for the revenue numbers in Tab 2. To ensure compliance with the state prohibition that in-state students not subsidize out-of-state students and to provide the review group with a scope of the strategy, projections must be made for each of the indicated categories. Please be aware that this data will be compared with similar data provided by other institutional offices in order to ensure overall consistency. (Please do not alter shaded cells that contain formulas.)</t>
    </r>
  </si>
  <si>
    <r>
      <t>"</t>
    </r>
    <r>
      <rPr>
        <i/>
        <sz val="11"/>
        <color rgb="FFFF0000"/>
        <rFont val="Arial"/>
        <family val="2"/>
      </rPr>
      <t>Other Discounts and Waiver</t>
    </r>
    <r>
      <rPr>
        <i/>
        <sz val="11"/>
        <color theme="1"/>
        <rFont val="Arial"/>
        <family val="2"/>
      </rPr>
      <t>" means the totals of any unfunded full or partial tuition waiver reducing the students' charges, including Virginia Military Survivors and Dependent Education Program and the Senior Citizens Tuition Waiver. Do not include the tuition differential for the tuition exceptions.</t>
    </r>
  </si>
  <si>
    <r>
      <t xml:space="preserve">Note:  If you do not have actual amounts for </t>
    </r>
    <r>
      <rPr>
        <b/>
        <i/>
        <sz val="12"/>
        <color theme="1"/>
        <rFont val="Arial"/>
        <family val="2"/>
      </rPr>
      <t>Tuition Revenue for Financial Aid</t>
    </r>
    <r>
      <rPr>
        <b/>
        <sz val="12"/>
        <color theme="1"/>
        <rFont val="Arial"/>
        <family val="2"/>
      </rPr>
      <t xml:space="preserve"> by student category, please provide an estimate.  If values are not distributed for </t>
    </r>
    <r>
      <rPr>
        <b/>
        <i/>
        <sz val="12"/>
        <color theme="1"/>
        <rFont val="Arial"/>
        <family val="2"/>
      </rPr>
      <t>Tuition Revenue for Financial Aid</t>
    </r>
    <r>
      <rPr>
        <b/>
        <sz val="12"/>
        <color theme="1"/>
        <rFont val="Arial"/>
        <family val="2"/>
      </rPr>
      <t xml:space="preserve">, a distribution may be calculated for your institution.  </t>
    </r>
  </si>
  <si>
    <t>Allocation of Tuition Revenue Used for Student Financial Aid</t>
  </si>
  <si>
    <r>
      <rPr>
        <b/>
        <sz val="14"/>
        <color rgb="FFFF0000"/>
        <rFont val="Arial"/>
        <family val="2"/>
      </rPr>
      <t>*</t>
    </r>
    <r>
      <rPr>
        <b/>
        <sz val="12"/>
        <color theme="1"/>
        <rFont val="Arial"/>
        <family val="2"/>
      </rPr>
      <t>2022-23 (Actual)  Please see footnote below</t>
    </r>
  </si>
  <si>
    <t>T&amp;F Used for Financial Aid</t>
  </si>
  <si>
    <t>Total Tuition Revenue</t>
  </si>
  <si>
    <t>Tuition Revenue for Financial Aid     (Program 108)</t>
  </si>
  <si>
    <t>% Revenue for Financial Aid</t>
  </si>
  <si>
    <t>Distribution of Financial Aid</t>
  </si>
  <si>
    <t>Unfunded Scholarships</t>
  </si>
  <si>
    <t>Other Tuition Discounts and Waivers</t>
  </si>
  <si>
    <t>Gross Tuition Revenue (Cols. B+F+G)</t>
  </si>
  <si>
    <t>Implied Discount Rate</t>
  </si>
  <si>
    <t>Compliance</t>
  </si>
  <si>
    <t>with § 4-5.1.a.i</t>
  </si>
  <si>
    <t>First Professional, In-State</t>
  </si>
  <si>
    <t>First Professional, Out-of-State</t>
  </si>
  <si>
    <t>Total</t>
  </si>
  <si>
    <t>2023-24 (Estimated)</t>
  </si>
  <si>
    <t>2024-25 (Planned)</t>
  </si>
  <si>
    <t>2025-26 (Planned)</t>
  </si>
  <si>
    <t>2026-27 (Pro Forma)</t>
  </si>
  <si>
    <t>2027-28 (Pro Forma)</t>
  </si>
  <si>
    <t>2028-29 (Pro Forma)</t>
  </si>
  <si>
    <t>2029-30 (Pro Forma)</t>
  </si>
  <si>
    <t>* Please note that the totals reported here will be compared with those reported by the financial aid office on the institution's annual S1/S2 report.  Since the six-year plan is estimated and the S1/S2 is “actual,” the numbers do not have to match perfectly but these totals should reconcile to within a reasonable tolerance level.  Please be sure that all institutional offices reporting tuition/fee revenue used for aid have the same understanding of what is to be reported for this category of aid.</t>
  </si>
  <si>
    <t>Part 4: ACADEMIC-FINANCIAL PLAN: 2024-25 through 2029-30</t>
  </si>
  <si>
    <r>
      <rPr>
        <sz val="12"/>
        <color rgb="FF000000"/>
        <rFont val="Arial"/>
        <family val="2"/>
      </rPr>
      <t xml:space="preserve">Instructions: The Academic Plan should contain academic, finance, and support service strategies the institution intends to employ in meeting state needs/goals as found in the Virginia Plan. (Please see the main instructions sheet in this workbook for more detailed information about The Virginia Plan. Please provide short titles to identify institutional strategies and other expenditure increases. Provide a concise description in the "Notes" column (column O), including a % increase where relevant and a specific reference as to where more detailed information can be found in the Narrative document.
Complete the lines appropriate to your institution, adding lines within the relevant categories as needed. As completely as possible, the items should represent a complete picture of your anticipated use of projected tuition revenues and strategic focus areas. Categories are listed in bold; you may not change the categories but you may add lines where indicated. Please update total cost formulas if necessary. For every line, the total amount and the sum of the reallocation and tuition revenue (and GF when indicated) should equal one another. 
Funding amounts in the first year should be incremental. However, if the costs continue into the second year and beyond, they should be reflected cumulatively (i.e. cost increases vs. 2023-24). Please update total cost formulas if necessary. Institutions should assume no general fund (GF) support in 2024-26 in this worksheet other than for salaries, health insurance and VITA charges per the instructions below. A separate worksheet (Part 6) is provided for institutions to request additional GF support for 2024-26. Strategies for student financial aid, other than those that are provided through tuition revenue, should not be included on this table; they should be included in Part 6, General Fund Request, of the plan.
Also, given the long standing practice that agencies should not assume general fund support for operation and maintenance (O&amp;M) of new facilities, O&amp;M strategies should not be included in an institution's plan, unless they are completely supported by tuition revenue.
</t>
    </r>
    <r>
      <rPr>
        <b/>
        <sz val="12"/>
        <color rgb="FF000000"/>
        <rFont val="Arial"/>
        <family val="2"/>
      </rPr>
      <t xml:space="preserve">                                                                  
</t>
    </r>
    <r>
      <rPr>
        <sz val="12"/>
        <color rgb="FF000000"/>
        <rFont val="Arial"/>
        <family val="2"/>
      </rPr>
      <t xml:space="preserve">Lines 5 and 6 are newly added to collect the estimated E&amp;G expenditures of 2022-23 and 2023-24 as baselines for Tab 5 Pro Forma.     
For the 2026-28 bienium and 2028-2030 bienium, total amounts should be provided as estimates of future expenditures on these items but delineation of reallocation vs. tuition revenue vs. GF does not need to be provided by the institution.
</t>
    </r>
    <r>
      <rPr>
        <sz val="12"/>
        <color rgb="FFFF0000"/>
        <rFont val="Arial"/>
        <family val="2"/>
      </rPr>
      <t xml:space="preserve">Funding amounts shall assume an annual 2% salary increase for each year from FY2025 to FY2030 for those employees eligible for the state-supported salary increases in the 2022-2024 biennium. Funding amounts shall also assume an annual 3% health insurance increase and a 5.36% VITA cost increase. Institutions shall calculate the GF portion of these increases in columns H and L using the appropriate fund share, which can be found in Tab 4b. If an institution plans to use its own funds to provide additional salary increases, add lines below the "increased fringe benefits costs" and specify salary amount by employee type and associated fringe benefit costs, but do not put any dollar amount in Columns H and L.
</t>
    </r>
    <r>
      <rPr>
        <sz val="12"/>
        <color rgb="FF000000"/>
        <rFont val="Arial"/>
        <family val="2"/>
      </rPr>
      <t xml:space="preserve">
NOTE: In light of ongoing budget negotiations, please complete the template assuming only what has already been signed into law as the baseline 2022-23 and 2023-24 appropriation. In the event that a new budget results in additional funding for institutions in 2023-24, OpSix will provide guidance at that time on whether and how to modify or resubmit plans.</t>
    </r>
  </si>
  <si>
    <t>Please estimate total E&amp;G expenditures for 2022-23 and 2023-24</t>
  </si>
  <si>
    <t>2024-2025
(Auto-calculated)</t>
  </si>
  <si>
    <t>2025-2026
(Auto-calculated)</t>
  </si>
  <si>
    <t>Total Estimated 2022-23 E&amp;G Expenditures</t>
  </si>
  <si>
    <t>Implied GF share</t>
  </si>
  <si>
    <t>Total Estimated 2023-24 E&amp;G Expenditures</t>
  </si>
  <si>
    <t>Incremental amounts relative to 2023-24 estimated baseline</t>
  </si>
  <si>
    <t>2024-2025</t>
  </si>
  <si>
    <t>2025-2026</t>
  </si>
  <si>
    <t>2026-2027</t>
  </si>
  <si>
    <t>2027-2028</t>
  </si>
  <si>
    <t>2028-2029</t>
  </si>
  <si>
    <t>2029-2030</t>
  </si>
  <si>
    <r>
      <t>Explanation</t>
    </r>
    <r>
      <rPr>
        <sz val="12"/>
        <color rgb="FF000000"/>
        <rFont val="Arial"/>
        <family val="2"/>
      </rPr>
      <t xml:space="preserve">
</t>
    </r>
    <r>
      <rPr>
        <b/>
        <sz val="12"/>
        <color rgb="FF000000"/>
        <rFont val="Arial"/>
        <family val="2"/>
      </rPr>
      <t>Please be brief; reference specific narrative question for more detail.
Explicitly share key assumptions, including any additional salary increases beyond the 2% increase baseline.</t>
    </r>
  </si>
  <si>
    <t>Short Title</t>
  </si>
  <si>
    <t>Total Amount</t>
  </si>
  <si>
    <t>Reallocation</t>
  </si>
  <si>
    <t>Amount from Tuition Revenue</t>
  </si>
  <si>
    <t>Amount from GF (Salaries &amp; benefits only)</t>
  </si>
  <si>
    <t>Total Amount (Pro Forma)</t>
  </si>
  <si>
    <t>Salary &amp; benefit increases for existing employees</t>
  </si>
  <si>
    <t>Increase T&amp;R Faculty Salaries</t>
  </si>
  <si>
    <t>Increase Admin. Faculty Salaries</t>
  </si>
  <si>
    <t>Increase Classified Staff Salaries</t>
  </si>
  <si>
    <t>Increase University Staff Salaries</t>
  </si>
  <si>
    <t>Increase GTA Salaries</t>
  </si>
  <si>
    <t>Increase Adjunct Faculty Salaries</t>
  </si>
  <si>
    <t>3% annual state health insurance cost</t>
  </si>
  <si>
    <t>[Add lines &amp; descriptions here]</t>
  </si>
  <si>
    <t>Inflationary non-personnel cost increases</t>
  </si>
  <si>
    <t>5.36% annual VITA charge increase</t>
  </si>
  <si>
    <t>Contractual services</t>
  </si>
  <si>
    <t>Utilities</t>
  </si>
  <si>
    <t>Financial aid expansion</t>
  </si>
  <si>
    <t>Addt'l In-State Student Financial Aid from Tuition Rev</t>
  </si>
  <si>
    <t>Addt'l Out-of-State Student Financial Aid from Tuition Rev</t>
  </si>
  <si>
    <t>New/expanded academic programs</t>
  </si>
  <si>
    <t>Other academic &amp; student support strategies &amp; initiatives</t>
  </si>
  <si>
    <t>Other non-academic strategies &amp; initiatives</t>
  </si>
  <si>
    <t>Total Additional Funding Need</t>
  </si>
  <si>
    <t>Must not be greater than incremental Tuit Rev in Part 2</t>
  </si>
  <si>
    <t>If result is &lt; $0, please provide explanation in these fields.</t>
  </si>
  <si>
    <t>Part 4b General Fund Share in FY2022</t>
  </si>
  <si>
    <t>GF Share</t>
  </si>
  <si>
    <t>Institution</t>
  </si>
  <si>
    <t>FY2022</t>
  </si>
  <si>
    <t>Christopher Newport University</t>
  </si>
  <si>
    <t>George Mason University</t>
  </si>
  <si>
    <t>James Madison University</t>
  </si>
  <si>
    <t>Longwood University</t>
  </si>
  <si>
    <t>Norfolk State University</t>
  </si>
  <si>
    <t>Old Dominion University</t>
  </si>
  <si>
    <t>Radford University</t>
  </si>
  <si>
    <t>University of Mary Washington</t>
  </si>
  <si>
    <t>University of Virginia</t>
  </si>
  <si>
    <t>University of Virginia at Wise</t>
  </si>
  <si>
    <t>Virginia Commonwealth University</t>
  </si>
  <si>
    <t>Virginia Military Institute</t>
  </si>
  <si>
    <t>Virginia State University</t>
  </si>
  <si>
    <t>Virginia Tech</t>
  </si>
  <si>
    <t>William &amp; Mary</t>
  </si>
  <si>
    <t>Richard Bland College</t>
  </si>
  <si>
    <t>Virginia Community College Sys</t>
  </si>
  <si>
    <t>Total, All Institutions</t>
  </si>
  <si>
    <t>Source: SCHEV 2022 Base Adequacy Calculation.</t>
  </si>
  <si>
    <t>Part 5: Six-year Pro Forma Calculations: 2022-23 through 2029-30</t>
  </si>
  <si>
    <r>
      <t xml:space="preserve">Instructions: No new data needs to be added on this tab; it is entirely comprised by formulas. The top section pulls in data from the previous tabs to calculate a pro forma budget surplus/deficit for the 6 years. The following section calculates what </t>
    </r>
    <r>
      <rPr>
        <sz val="12"/>
        <color theme="1"/>
        <rFont val="Arial"/>
        <family val="2"/>
      </rPr>
      <t>T&amp;F (price) and GF increases would theoretically need to occur each year in order to cover the deficit and maintain the 2022-23 GF/NGF split</t>
    </r>
    <r>
      <rPr>
        <i/>
        <sz val="12"/>
        <color theme="1"/>
        <rFont val="Arial"/>
        <family val="2"/>
      </rPr>
      <t xml:space="preserve">. At the bottom is a blended scenario calculator that a user can leverage to calculate </t>
    </r>
    <r>
      <rPr>
        <sz val="12"/>
        <color theme="1"/>
        <rFont val="Arial"/>
        <family val="2"/>
      </rPr>
      <t>custom</t>
    </r>
    <r>
      <rPr>
        <i/>
        <sz val="12"/>
        <color theme="1"/>
        <rFont val="Arial"/>
        <family val="2"/>
      </rPr>
      <t xml:space="preserve"> "shared" scenarios where deficits can be covered by a combination of expenditure reduction, T&amp;F increases, and GF increases. Cells D28:30 should be set by the user (so long as they add up to 100%) and the results will flow into the rows below that automatically. </t>
    </r>
    <r>
      <rPr>
        <sz val="12"/>
        <color theme="1"/>
        <rFont val="Arial"/>
        <family val="2"/>
      </rPr>
      <t>This analysis is intended to be directional and pro forma; it is not intended to be interpreted as a projection or plan/budget of any kind.
Note: this pro forma does not include any of the additional GF requests in the following tab; those requests would require GF funding on top of what is calculated in this tab.</t>
    </r>
    <r>
      <rPr>
        <i/>
        <sz val="12"/>
        <color theme="1"/>
        <rFont val="Arial"/>
        <family val="2"/>
      </rPr>
      <t xml:space="preserve"> </t>
    </r>
    <r>
      <rPr>
        <sz val="12"/>
        <color theme="1"/>
        <rFont val="Arial"/>
        <family val="2"/>
      </rPr>
      <t>It does account for the salary/health insurance/VITA increases from tab 4, including the corresponding GF increases.</t>
    </r>
  </si>
  <si>
    <t>From FY23-FY30</t>
  </si>
  <si>
    <t>Baseline Pro Forma Surplus/Deficit</t>
  </si>
  <si>
    <t>Total Chg</t>
  </si>
  <si>
    <t>Avg Annual Chg</t>
  </si>
  <si>
    <t>Total E&amp;G GF Revenue (includes tab 4, not tab 6)</t>
  </si>
  <si>
    <t>Tuition discount rate</t>
  </si>
  <si>
    <t>Total E&amp;G NGF Revenue</t>
  </si>
  <si>
    <t>Incremental E&amp;G NGF Revenue vs. prior yr</t>
  </si>
  <si>
    <t>Total E&amp;G Revenue</t>
  </si>
  <si>
    <t>Implied GF % of E&amp;G</t>
  </si>
  <si>
    <t>Total E&amp;G Expenditures</t>
  </si>
  <si>
    <t>Incremental E&amp;G Expenditures vs. 2023-24</t>
  </si>
  <si>
    <t>Reallocation of existing dollars (flat after 2025-26)</t>
  </si>
  <si>
    <t>Pro Forma Surplus/Deficit</t>
  </si>
  <si>
    <t>Incremental Surplus/Deficit</t>
  </si>
  <si>
    <t>What would a constant GF/NGF ratio at 2022-23 levels imply for T&amp;F and GF increases?</t>
  </si>
  <si>
    <t>GF % of E&amp;G</t>
  </si>
  <si>
    <t xml:space="preserve">Implied incremental T&amp;F increase (%) </t>
  </si>
  <si>
    <t>Implied incremental GF Increase (%)</t>
  </si>
  <si>
    <t>Blended Scenario Calculator  - Share of Deficit Covered by Each Source (Must add up to 100%)</t>
  </si>
  <si>
    <t>Expenditure reductions</t>
  </si>
  <si>
    <t>&lt;&lt; Input percentages here</t>
  </si>
  <si>
    <t>T&amp;F increases</t>
  </si>
  <si>
    <t>GF increases</t>
  </si>
  <si>
    <t>TOTAL</t>
  </si>
  <si>
    <t>Implied E&amp;G Expenditure Reduction (%)</t>
  </si>
  <si>
    <t>Implied incremental T&amp;F increase (%)</t>
  </si>
  <si>
    <t>Part 6: General Fund (GF) Request: 2024-2026 Biennium</t>
  </si>
  <si>
    <t>Priority Ranking</t>
  </si>
  <si>
    <t>Initiatives Requiring General Fund Support</t>
  </si>
  <si>
    <t>Notes/Explanation
Please be brief; reference specific narrative question for more detail.</t>
  </si>
  <si>
    <t>Biennium 2024-2026 (7/1/24-6/30/26)</t>
  </si>
  <si>
    <t>Strategies (Match Academic-Financial Worksheet Short Title)</t>
  </si>
  <si>
    <t>Category
(Select best option from dropdown menu)</t>
  </si>
  <si>
    <t>GF Support</t>
  </si>
  <si>
    <t>GF Request Categories</t>
  </si>
  <si>
    <t>Career Readiness &amp; Placement</t>
  </si>
  <si>
    <t>Community Engagement</t>
  </si>
  <si>
    <t>Cost efficiency</t>
  </si>
  <si>
    <t>Curriculum</t>
  </si>
  <si>
    <t>Degree Pathways</t>
  </si>
  <si>
    <t>Economic Development</t>
  </si>
  <si>
    <t>Education Innovation / Online Learning</t>
  </si>
  <si>
    <t>Enrollment management</t>
  </si>
  <si>
    <t>Financial Aid</t>
  </si>
  <si>
    <t>General Operations Support</t>
  </si>
  <si>
    <t>Partnerships</t>
  </si>
  <si>
    <t>Research</t>
  </si>
  <si>
    <t>Student Success</t>
  </si>
  <si>
    <t>Technology Infrastructure</t>
  </si>
  <si>
    <t>OTHER (Please specify in description)</t>
  </si>
  <si>
    <t>Foregone Tuition Revenue As A Result of Tuition Waivers (See references at bottom of tables for waiver programs)</t>
  </si>
  <si>
    <t>Educational and General Programs</t>
  </si>
  <si>
    <t>The values entered for 2011-12 must match those submitted on the SCHEV S1/S2.</t>
  </si>
  <si>
    <t>2011-12 (Actual from S1/S2)</t>
  </si>
  <si>
    <t>Program</t>
  </si>
  <si>
    <t>In-State</t>
  </si>
  <si>
    <t>Out-of-State</t>
  </si>
  <si>
    <t>Undergraduate</t>
  </si>
  <si>
    <t>Graduate</t>
  </si>
  <si>
    <t>Foreign exchange student waivers</t>
  </si>
  <si>
    <t xml:space="preserve">Virginia's military dependent waivers </t>
  </si>
  <si>
    <t xml:space="preserve">Virginia's military member waivers </t>
  </si>
  <si>
    <t>Virginia's military veteran waivers</t>
  </si>
  <si>
    <t xml:space="preserve">Federal military member and dependent waivers </t>
  </si>
  <si>
    <t>Virginia provision for other state's National Guard duty</t>
  </si>
  <si>
    <t>Special arrangement contracts</t>
  </si>
  <si>
    <t>Academic Common Market</t>
  </si>
  <si>
    <t>Geographic waivers</t>
  </si>
  <si>
    <t>Other waivers associated with in-/out-of-state differential</t>
  </si>
  <si>
    <t>Senior Citizen's Tuition and Fee Waivers</t>
  </si>
  <si>
    <t>Certain Public Safety Personnel Child/Spouse Waivers</t>
  </si>
  <si>
    <t>Virginia Military Survivors &amp; Dependents Education Program</t>
  </si>
  <si>
    <t>Employee Waivers</t>
  </si>
  <si>
    <t>Other waivers of tuition/fees student would normally be charged</t>
  </si>
  <si>
    <t>2012-13 (Estimated)</t>
  </si>
  <si>
    <t>2013-14 (Planned)</t>
  </si>
  <si>
    <t>2014-15 (Planned)</t>
  </si>
  <si>
    <t>2015-16 (Planned)</t>
  </si>
  <si>
    <t>FA File Field</t>
  </si>
  <si>
    <t>Authorization</t>
  </si>
  <si>
    <t>TUIWAIV, IN-1</t>
  </si>
  <si>
    <t>Code of Virginia § 23-31</t>
  </si>
  <si>
    <t xml:space="preserve">TUITION=H </t>
  </si>
  <si>
    <t>Code of Virginia § 23-7.4:2 C 2</t>
  </si>
  <si>
    <t>TUITION=B</t>
  </si>
  <si>
    <t xml:space="preserve">Code of Virginia § 23-7.4 E </t>
  </si>
  <si>
    <t>TUITION=M</t>
  </si>
  <si>
    <t>Code of Virginia § 23-7.4:2 G</t>
  </si>
  <si>
    <t>TUITION=U</t>
  </si>
  <si>
    <t>Code of Virginia § 23-7.4:2 H</t>
  </si>
  <si>
    <t>TUITION=R</t>
  </si>
  <si>
    <t>Federal Higher Education Opportunity Act (Sec. 114)</t>
  </si>
  <si>
    <t>TUITION=T</t>
  </si>
  <si>
    <t>Code of Virginia § 23-7.4:2 B</t>
  </si>
  <si>
    <t>TUITION=I</t>
  </si>
  <si>
    <t>Code of Virginia § 23-7.4:2 F</t>
  </si>
  <si>
    <t>TUITION=C</t>
  </si>
  <si>
    <t>Code of Virginia § 23-7.4:2 C 1</t>
  </si>
  <si>
    <t xml:space="preserve">Geographic waivers </t>
  </si>
  <si>
    <t>Virginia Community College System</t>
  </si>
  <si>
    <t>TUITION=D</t>
  </si>
  <si>
    <t>Code of Virginia § 23-7.4:2 D</t>
  </si>
  <si>
    <t xml:space="preserve">University of Virginia's College at Wise </t>
  </si>
  <si>
    <t>TUITION=E</t>
  </si>
  <si>
    <t>Code of Virginia § 23-7.4:2 E</t>
  </si>
  <si>
    <t>Old Dominion University's TELETECHNET sites/higher education centers; Radford’s Virginia Educators program</t>
  </si>
  <si>
    <t>TUITION=P</t>
  </si>
  <si>
    <t>Appropriation Act (ODU)</t>
  </si>
  <si>
    <t>VCCS dual enrollment agreement</t>
  </si>
  <si>
    <t>TUITION=F</t>
  </si>
  <si>
    <t>Code of Virginia § 23-7.4:2 C 3</t>
  </si>
  <si>
    <t>Nonresident employed full time in Virginia provision</t>
  </si>
  <si>
    <t>TUITION=G</t>
  </si>
  <si>
    <t xml:space="preserve">Code of Virginia § 23-7.4:2 A </t>
  </si>
  <si>
    <t>One-year grace period for dependent whose parent or spouse abandons Virginia domicile</t>
  </si>
  <si>
    <t>TUITION=L</t>
  </si>
  <si>
    <t xml:space="preserve">Code of Virginia § 23-7.4 B </t>
  </si>
  <si>
    <t>Graduate student employed at a contract rate of $4K+</t>
  </si>
  <si>
    <t>TUITION=Q</t>
  </si>
  <si>
    <t>Appropriation Act § 4-2.01 b 6</t>
  </si>
  <si>
    <t>Code of Virginia § 23-38.54 et seq.</t>
  </si>
  <si>
    <t>Code of Virginia § 23-7.4:1 B</t>
  </si>
  <si>
    <t>MSDTFW, IN-7</t>
  </si>
  <si>
    <t>Code of Virginia § 23-7.4:1 A</t>
  </si>
  <si>
    <t>Appropriation Act § 4-2.01 b 9</t>
  </si>
  <si>
    <t>Rank</t>
  </si>
  <si>
    <t>Yes/No</t>
  </si>
  <si>
    <t>Yes</t>
  </si>
  <si>
    <t>No</t>
  </si>
  <si>
    <t>Other central appropriation amounts</t>
  </si>
  <si>
    <t>Other CA amounts.  Need to pay NGF portion.</t>
  </si>
  <si>
    <t>FY 2024 baseline has 5% salary increase</t>
  </si>
  <si>
    <t>O&amp;M for new facilities</t>
  </si>
  <si>
    <t>Anticipated completion of capital projects under design/construction.</t>
  </si>
  <si>
    <t>FY25 reflects anticipated increase over FY2024, a 10% increase in FY26 and 2% in proforma years.</t>
  </si>
  <si>
    <t xml:space="preserve">Increase capacity regionally: Build State-of-the-Art Career and Technical Programs and Labs </t>
  </si>
  <si>
    <t>Increase capacity regionally:  Scale Marketing Efforts</t>
  </si>
  <si>
    <t>Increase capacity regionally:  Scale career coach program to all public high schools</t>
  </si>
  <si>
    <t>Increase capacity regionally:  Expand FastForward to keep pace with demand</t>
  </si>
  <si>
    <t>Increase capacity regionally:  Establish career placement centers</t>
  </si>
  <si>
    <r>
      <rPr>
        <b/>
        <sz val="12"/>
        <rFont val="Arial"/>
        <family val="2"/>
      </rPr>
      <t>Narrative Section C3: Build State of the Art Career and Technical Programs and Labs.</t>
    </r>
    <r>
      <rPr>
        <sz val="12"/>
        <rFont val="Arial"/>
        <family val="2"/>
      </rPr>
      <t xml:space="preserve"> Use regional modalities statewide to expand career technical and FastForward course offerings, purchase equipment and re-imagine instructional spaces. </t>
    </r>
    <r>
      <rPr>
        <b/>
        <sz val="12"/>
        <rFont val="Arial"/>
        <family val="2"/>
      </rPr>
      <t xml:space="preserve">Strategic Priority 1 </t>
    </r>
  </si>
  <si>
    <r>
      <rPr>
        <b/>
        <sz val="12"/>
        <rFont val="Arial"/>
        <family val="2"/>
      </rPr>
      <t>Narrative Section C3:  Disrupt Service Delivery and Optimize Facility Usage</t>
    </r>
    <r>
      <rPr>
        <sz val="12"/>
        <rFont val="Arial"/>
        <family val="2"/>
      </rPr>
      <t xml:space="preserve">. Addresses growing statewide demand for FastForward programs. </t>
    </r>
    <r>
      <rPr>
        <b/>
        <sz val="12"/>
        <rFont val="Arial"/>
        <family val="2"/>
      </rPr>
      <t>Strategic Priority 1</t>
    </r>
  </si>
  <si>
    <r>
      <rPr>
        <b/>
        <sz val="12"/>
        <rFont val="Arial"/>
        <family val="2"/>
      </rPr>
      <t>Narrative Section C3:  Focus not Just on Completion, but also on Job Placement.</t>
    </r>
    <r>
      <rPr>
        <sz val="12"/>
        <rFont val="Arial"/>
        <family val="2"/>
      </rPr>
      <t xml:space="preserve"> Establishes career placement and outreach centers at each comprehensive community college.  </t>
    </r>
    <r>
      <rPr>
        <b/>
        <sz val="12"/>
        <rFont val="Arial"/>
        <family val="2"/>
      </rPr>
      <t>Strategic Priority 1</t>
    </r>
  </si>
  <si>
    <r>
      <rPr>
        <b/>
        <sz val="12"/>
        <rFont val="Arial"/>
        <family val="2"/>
      </rPr>
      <t>Narrative Section C3:  Disrupt Service Delivery and Optimize Facility Usage</t>
    </r>
    <r>
      <rPr>
        <sz val="12"/>
        <rFont val="Arial"/>
        <family val="2"/>
      </rPr>
      <t xml:space="preserve">.  Leverages VCCS on-line instructional delivery statewide. </t>
    </r>
    <r>
      <rPr>
        <b/>
        <sz val="12"/>
        <rFont val="Arial"/>
        <family val="2"/>
      </rPr>
      <t>Strategic Priority 1</t>
    </r>
  </si>
  <si>
    <r>
      <rPr>
        <b/>
        <sz val="12"/>
        <rFont val="Arial"/>
        <family val="2"/>
      </rPr>
      <t>Narrative Section C3: Fundamentally Alter Who We Recruit and How.</t>
    </r>
    <r>
      <rPr>
        <sz val="12"/>
        <rFont val="Arial"/>
        <family val="2"/>
      </rPr>
      <t xml:space="preserve">  Expands existing program to place a career coach in every public high school. </t>
    </r>
    <r>
      <rPr>
        <b/>
        <sz val="12"/>
        <rFont val="Arial"/>
        <family val="2"/>
      </rPr>
      <t>Strategic Priority 1</t>
    </r>
  </si>
  <si>
    <r>
      <rPr>
        <b/>
        <sz val="12"/>
        <rFont val="Arial"/>
        <family val="2"/>
      </rPr>
      <t>Narrative Section C3: Provide every high school student with a meaningful postsecondary credential.</t>
    </r>
    <r>
      <rPr>
        <sz val="12"/>
        <rFont val="Arial"/>
        <family val="2"/>
      </rPr>
      <t xml:space="preserve">  Estimated at $35million annually provided to Department of Education for K-12 education, and is not included in, and is not  duplicative of, VCCS request for general fund support.  </t>
    </r>
    <r>
      <rPr>
        <b/>
        <sz val="12"/>
        <rFont val="Arial"/>
        <family val="2"/>
      </rPr>
      <t>Strategic Priority2</t>
    </r>
  </si>
  <si>
    <r>
      <rPr>
        <b/>
        <sz val="12"/>
        <rFont val="Arial"/>
        <family val="2"/>
      </rPr>
      <t>Narrative Section C3:  Pay for Performanc</t>
    </r>
    <r>
      <rPr>
        <sz val="12"/>
        <rFont val="Arial"/>
        <family val="2"/>
      </rPr>
      <t xml:space="preserve">e. Expand on internal outcomes- based funding methodology and strengthen pathways to jobs.  </t>
    </r>
    <r>
      <rPr>
        <b/>
        <sz val="12"/>
        <rFont val="Arial"/>
        <family val="2"/>
      </rPr>
      <t>Strategic Priority 3</t>
    </r>
  </si>
  <si>
    <r>
      <rPr>
        <b/>
        <sz val="12"/>
        <rFont val="Arial"/>
        <family val="2"/>
      </rPr>
      <t>Narrative Section C3: Fundamentally Alter Who We Recruit and How</t>
    </r>
    <r>
      <rPr>
        <sz val="12"/>
        <rFont val="Arial"/>
        <family val="2"/>
      </rPr>
      <t xml:space="preserve">.  Expand marketing using digital platforms, broadcast media,  print media, direct mail and other methodologies. </t>
    </r>
    <r>
      <rPr>
        <b/>
        <sz val="12"/>
        <rFont val="Arial"/>
        <family val="2"/>
      </rPr>
      <t>Strategic Priority 1</t>
    </r>
  </si>
  <si>
    <t>260</t>
  </si>
  <si>
    <t>cherndon@vccs.edu</t>
  </si>
  <si>
    <t>Craig Herndon, Senior Vice Chancellor for Administration, Finance and Technology</t>
  </si>
  <si>
    <t>Provide every high school student with a meaningful postsecondary credential</t>
  </si>
  <si>
    <t>Pay for Performance:  Scale outcomes-based funding to sustain high value high demand programs</t>
  </si>
  <si>
    <t>Increase capacity regionally:  Expand access to on-line learning to deliver on-demand, anytime learning</t>
  </si>
  <si>
    <t>(804)819-4782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</si>
</sst>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4" formatCode="_(&quot;$&quot;* #,##0.00_);_(&quot;$&quot;* \(#,##0.00\);_(&quot;$&quot;* &quot;-&quot;??_);_(@_)"/>
    <numFmt numFmtId="43" formatCode="_(* #,##0.00_);_(* \(#,##0.00\);_(* &quot;-&quot;??_);_(@_)"/>
    <numFmt numFmtId="164" formatCode="&quot;$&quot;#,##0"/>
    <numFmt numFmtId="165" formatCode="0.0%"/>
    <numFmt numFmtId="166" formatCode="_(* #,##0_);_(* \(#,##0\);_(* &quot;-&quot;??_);_(@_)"/>
    <numFmt numFmtId="167" formatCode="0.0000%"/>
    <numFmt numFmtId="168" formatCode="0.0"/>
    <numFmt numFmtId="169" formatCode="&quot;$&quot;#,##0.00"/>
  </numFmts>
  <fonts count="76"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8"/>
      <name val="Arial"/>
      <family val="2"/>
    </font>
    <font>
      <b/>
      <sz val="10"/>
      <name val="Arial"/>
      <family val="2"/>
    </font>
    <font>
      <sz val="10"/>
      <name val="Arial"/>
      <family val="2"/>
    </font>
    <font>
      <b/>
      <sz val="12"/>
      <name val="Arial"/>
      <family val="2"/>
    </font>
    <font>
      <sz val="12"/>
      <name val="Arial"/>
      <family val="2"/>
    </font>
    <font>
      <b/>
      <sz val="20"/>
      <name val="Arial"/>
      <family val="2"/>
    </font>
    <font>
      <b/>
      <sz val="12"/>
      <color theme="1"/>
      <name val="Arial"/>
      <family val="2"/>
    </font>
    <font>
      <sz val="12"/>
      <color theme="1"/>
      <name val="Arial"/>
      <family val="2"/>
    </font>
    <font>
      <i/>
      <sz val="12"/>
      <color theme="1"/>
      <name val="Arial"/>
      <family val="2"/>
    </font>
    <font>
      <sz val="10"/>
      <color theme="1"/>
      <name val="Arial"/>
      <family val="2"/>
    </font>
    <font>
      <b/>
      <sz val="10"/>
      <color theme="1"/>
      <name val="Arial"/>
      <family val="2"/>
    </font>
    <font>
      <sz val="16"/>
      <name val="Arial"/>
      <family val="2"/>
    </font>
    <font>
      <b/>
      <i/>
      <sz val="16"/>
      <name val="Arial"/>
      <family val="2"/>
    </font>
    <font>
      <b/>
      <i/>
      <sz val="10"/>
      <name val="Arial"/>
      <family val="2"/>
    </font>
    <font>
      <b/>
      <i/>
      <sz val="12"/>
      <name val="Arial"/>
      <family val="2"/>
    </font>
    <font>
      <sz val="18"/>
      <name val="Arial"/>
      <family val="2"/>
    </font>
    <font>
      <b/>
      <i/>
      <sz val="18"/>
      <name val="Arial"/>
      <family val="2"/>
    </font>
    <font>
      <u/>
      <sz val="10"/>
      <color indexed="12"/>
      <name val="Arial"/>
      <family val="2"/>
    </font>
    <font>
      <b/>
      <sz val="16"/>
      <color theme="1"/>
      <name val="Arial"/>
      <family val="2"/>
    </font>
    <font>
      <sz val="11"/>
      <color theme="1"/>
      <name val="Arial"/>
      <family val="2"/>
    </font>
    <font>
      <b/>
      <sz val="12"/>
      <color indexed="8"/>
      <name val="Arial"/>
      <family val="2"/>
    </font>
    <font>
      <b/>
      <sz val="10"/>
      <color rgb="FF000099"/>
      <name val="Arial"/>
      <family val="2"/>
    </font>
    <font>
      <b/>
      <sz val="14"/>
      <name val="Arial"/>
      <family val="2"/>
    </font>
    <font>
      <sz val="14"/>
      <name val="Arial"/>
      <family val="2"/>
    </font>
    <font>
      <sz val="10"/>
      <color indexed="12"/>
      <name val="Arial"/>
      <family val="2"/>
    </font>
    <font>
      <b/>
      <i/>
      <sz val="12"/>
      <color theme="1"/>
      <name val="Arial"/>
      <family val="2"/>
    </font>
    <font>
      <u/>
      <sz val="10"/>
      <color theme="10"/>
      <name val="Arial"/>
      <family val="2"/>
    </font>
    <font>
      <sz val="10"/>
      <color theme="10"/>
      <name val="Arial"/>
      <family val="2"/>
    </font>
    <font>
      <b/>
      <i/>
      <sz val="20"/>
      <name val="Arial"/>
      <family val="2"/>
    </font>
    <font>
      <u/>
      <sz val="10"/>
      <color theme="11"/>
      <name val="Arial"/>
      <family val="2"/>
    </font>
    <font>
      <sz val="10"/>
      <name val="Arial"/>
      <family val="2"/>
    </font>
    <font>
      <sz val="11"/>
      <name val="Arial"/>
      <family val="2"/>
    </font>
    <font>
      <b/>
      <sz val="11"/>
      <name val="Arial"/>
      <family val="2"/>
    </font>
    <font>
      <i/>
      <sz val="11"/>
      <color rgb="FFFF0000"/>
      <name val="Arial"/>
      <family val="2"/>
    </font>
    <font>
      <b/>
      <sz val="14"/>
      <color rgb="FFFF0000"/>
      <name val="Arial"/>
      <family val="2"/>
    </font>
    <font>
      <sz val="10"/>
      <color rgb="FF000000"/>
      <name val="Arial"/>
      <family val="2"/>
    </font>
    <font>
      <sz val="11"/>
      <color rgb="FF000000"/>
      <name val="Arial"/>
      <family val="2"/>
    </font>
    <font>
      <b/>
      <sz val="11"/>
      <color rgb="FF000000"/>
      <name val="Arial"/>
      <family val="2"/>
    </font>
    <font>
      <b/>
      <sz val="12"/>
      <color rgb="FF000000"/>
      <name val="Arial"/>
      <family val="2"/>
    </font>
    <font>
      <sz val="12"/>
      <color theme="1"/>
      <name val="Arial Narrow"/>
      <family val="2"/>
    </font>
    <font>
      <sz val="10"/>
      <color theme="0"/>
      <name val="Arial"/>
      <family val="2"/>
    </font>
    <font>
      <b/>
      <sz val="14"/>
      <color theme="1"/>
      <name val="Arial"/>
      <family val="2"/>
    </font>
    <font>
      <i/>
      <sz val="12"/>
      <name val="Arial"/>
      <family val="2"/>
    </font>
    <font>
      <b/>
      <sz val="10"/>
      <color indexed="8"/>
      <name val="Arial"/>
      <family val="2"/>
    </font>
    <font>
      <i/>
      <sz val="11"/>
      <color theme="1"/>
      <name val="Arial"/>
      <family val="2"/>
    </font>
    <font>
      <b/>
      <i/>
      <sz val="11"/>
      <color theme="1"/>
      <name val="Arial"/>
      <family val="2"/>
    </font>
    <font>
      <b/>
      <sz val="16"/>
      <name val="Arial"/>
      <family val="2"/>
    </font>
    <font>
      <b/>
      <sz val="13"/>
      <name val="Arial"/>
      <family val="2"/>
    </font>
    <font>
      <i/>
      <sz val="11"/>
      <name val="Arial"/>
      <family val="2"/>
    </font>
    <font>
      <b/>
      <sz val="13"/>
      <color rgb="FF333333"/>
      <name val="Arial"/>
      <family val="2"/>
    </font>
    <font>
      <sz val="13"/>
      <name val="Arial"/>
      <family val="2"/>
    </font>
    <font>
      <b/>
      <i/>
      <sz val="13"/>
      <name val="Arial"/>
      <family val="2"/>
    </font>
    <font>
      <i/>
      <sz val="11"/>
      <color rgb="FF333333"/>
      <name val="Arial"/>
      <family val="2"/>
    </font>
    <font>
      <sz val="10"/>
      <color rgb="FFFF0000"/>
      <name val="Arial"/>
      <family val="2"/>
    </font>
    <font>
      <b/>
      <i/>
      <sz val="11"/>
      <name val="Arial"/>
      <family val="2"/>
    </font>
    <font>
      <b/>
      <sz val="18"/>
      <color theme="1"/>
      <name val="Arial"/>
      <family val="2"/>
    </font>
    <font>
      <sz val="18"/>
      <color theme="1"/>
      <name val="Arial"/>
      <family val="2"/>
    </font>
    <font>
      <b/>
      <i/>
      <sz val="18"/>
      <color theme="1"/>
      <name val="Arial"/>
      <family val="2"/>
    </font>
    <font>
      <sz val="12"/>
      <color rgb="FFFF0000"/>
      <name val="Arial"/>
      <family val="2"/>
    </font>
    <font>
      <sz val="12"/>
      <color rgb="FF000000"/>
      <name val="Arial"/>
      <family val="2"/>
    </font>
    <font>
      <sz val="10"/>
      <name val="Arial"/>
      <family val="2"/>
    </font>
    <font>
      <u/>
      <sz val="11"/>
      <name val="Arial"/>
      <family val="2"/>
    </font>
    <font>
      <sz val="12"/>
      <color theme="1"/>
      <name val="Calibri"/>
      <family val="2"/>
      <scheme val="minor"/>
    </font>
    <font>
      <b/>
      <sz val="12"/>
      <color theme="1"/>
      <name val="Calibri"/>
      <family val="2"/>
      <scheme val="minor"/>
    </font>
    <font>
      <sz val="10"/>
      <color theme="1"/>
      <name val="Calibri"/>
      <family val="2"/>
      <scheme val="minor"/>
    </font>
    <font>
      <sz val="8"/>
      <name val="Arial"/>
    </font>
  </fonts>
  <fills count="11">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1"/>
        <bgColor indexed="64"/>
      </patternFill>
    </fill>
    <fill>
      <patternFill patternType="solid">
        <fgColor indexed="22"/>
        <bgColor indexed="64"/>
      </patternFill>
    </fill>
    <fill>
      <patternFill patternType="solid">
        <fgColor theme="0"/>
        <bgColor indexed="64"/>
      </patternFill>
    </fill>
    <fill>
      <patternFill patternType="solid">
        <fgColor rgb="FFFFFF00"/>
        <bgColor indexed="64"/>
      </patternFill>
    </fill>
    <fill>
      <patternFill patternType="solid">
        <fgColor theme="4" tint="0.39997558519241921"/>
        <bgColor indexed="64"/>
      </patternFill>
    </fill>
    <fill>
      <patternFill patternType="solid">
        <fgColor theme="0" tint="-4.9989318521683403E-2"/>
        <bgColor indexed="64"/>
      </patternFill>
    </fill>
    <fill>
      <patternFill patternType="solid">
        <fgColor theme="0" tint="-0.34998626667073579"/>
        <bgColor indexed="64"/>
      </patternFill>
    </fill>
  </fills>
  <borders count="73">
    <border>
      <left/>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right style="medium">
        <color auto="1"/>
      </right>
      <top/>
      <bottom/>
      <diagonal/>
    </border>
    <border>
      <left style="medium">
        <color auto="1"/>
      </left>
      <right style="medium">
        <color auto="1"/>
      </right>
      <top/>
      <bottom/>
      <diagonal/>
    </border>
    <border>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top/>
      <bottom/>
      <diagonal/>
    </border>
    <border>
      <left style="medium">
        <color auto="1"/>
      </left>
      <right/>
      <top style="medium">
        <color auto="1"/>
      </top>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top/>
      <bottom style="thin">
        <color auto="1"/>
      </bottom>
      <diagonal/>
    </border>
    <border>
      <left style="medium">
        <color auto="1"/>
      </left>
      <right style="medium">
        <color auto="1"/>
      </right>
      <top/>
      <bottom style="thin">
        <color auto="1"/>
      </bottom>
      <diagonal/>
    </border>
    <border>
      <left style="medium">
        <color auto="1"/>
      </left>
      <right/>
      <top style="thin">
        <color auto="1"/>
      </top>
      <bottom style="thin">
        <color auto="1"/>
      </bottom>
      <diagonal/>
    </border>
    <border>
      <left style="medium">
        <color auto="1"/>
      </left>
      <right/>
      <top style="thin">
        <color auto="1"/>
      </top>
      <bottom/>
      <diagonal/>
    </border>
    <border>
      <left style="medium">
        <color auto="1"/>
      </left>
      <right style="medium">
        <color auto="1"/>
      </right>
      <top style="thin">
        <color auto="1"/>
      </top>
      <bottom/>
      <diagonal/>
    </border>
    <border>
      <left/>
      <right style="medium">
        <color auto="1"/>
      </right>
      <top/>
      <bottom style="thin">
        <color auto="1"/>
      </bottom>
      <diagonal/>
    </border>
    <border>
      <left/>
      <right style="thin">
        <color auto="1"/>
      </right>
      <top/>
      <bottom style="thin">
        <color auto="1"/>
      </bottom>
      <diagonal/>
    </border>
    <border>
      <left style="thin">
        <color auto="1"/>
      </left>
      <right/>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top style="medium">
        <color auto="1"/>
      </top>
      <bottom style="medium">
        <color auto="1"/>
      </bottom>
      <diagonal/>
    </border>
    <border>
      <left/>
      <right style="medium">
        <color auto="1"/>
      </right>
      <top style="thin">
        <color auto="1"/>
      </top>
      <bottom style="thin">
        <color auto="1"/>
      </bottom>
      <diagonal/>
    </border>
    <border>
      <left style="thin">
        <color auto="1"/>
      </left>
      <right style="medium">
        <color auto="1"/>
      </right>
      <top style="thin">
        <color auto="1"/>
      </top>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right style="thin">
        <color auto="1"/>
      </right>
      <top style="thin">
        <color auto="1"/>
      </top>
      <bottom style="medium">
        <color auto="1"/>
      </bottom>
      <diagonal/>
    </border>
    <border>
      <left/>
      <right style="thin">
        <color auto="1"/>
      </right>
      <top style="medium">
        <color auto="1"/>
      </top>
      <bottom style="medium">
        <color auto="1"/>
      </bottom>
      <diagonal/>
    </border>
    <border>
      <left style="thin">
        <color auto="1"/>
      </left>
      <right style="thin">
        <color auto="1"/>
      </right>
      <top style="medium">
        <color auto="1"/>
      </top>
      <bottom/>
      <diagonal/>
    </border>
    <border>
      <left style="thick">
        <color auto="1"/>
      </left>
      <right/>
      <top style="medium">
        <color auto="1"/>
      </top>
      <bottom style="medium">
        <color auto="1"/>
      </bottom>
      <diagonal/>
    </border>
    <border>
      <left style="thin">
        <color auto="1"/>
      </left>
      <right style="thin">
        <color auto="1"/>
      </right>
      <top style="double">
        <color indexed="64"/>
      </top>
      <bottom style="thin">
        <color auto="1"/>
      </bottom>
      <diagonal/>
    </border>
    <border>
      <left/>
      <right style="thin">
        <color auto="1"/>
      </right>
      <top style="double">
        <color indexed="64"/>
      </top>
      <bottom style="thin">
        <color auto="1"/>
      </bottom>
      <diagonal/>
    </border>
    <border>
      <left style="thin">
        <color auto="1"/>
      </left>
      <right/>
      <top style="medium">
        <color auto="1"/>
      </top>
      <bottom/>
      <diagonal/>
    </border>
    <border>
      <left style="thin">
        <color auto="1"/>
      </left>
      <right/>
      <top style="double">
        <color indexed="64"/>
      </top>
      <bottom style="thin">
        <color auto="1"/>
      </bottom>
      <diagonal/>
    </border>
    <border>
      <left style="thin">
        <color auto="1"/>
      </left>
      <right style="thin">
        <color auto="1"/>
      </right>
      <top style="double">
        <color indexed="64"/>
      </top>
      <bottom style="double">
        <color auto="1"/>
      </bottom>
      <diagonal/>
    </border>
    <border>
      <left style="thick">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auto="1"/>
      </left>
      <right/>
      <top/>
      <bottom/>
      <diagonal/>
    </border>
    <border>
      <left style="thin">
        <color auto="1"/>
      </left>
      <right style="thin">
        <color auto="1"/>
      </right>
      <top/>
      <bottom/>
      <diagonal/>
    </border>
    <border>
      <left/>
      <right style="medium">
        <color auto="1"/>
      </right>
      <top style="medium">
        <color auto="1"/>
      </top>
      <bottom/>
      <diagonal/>
    </border>
    <border>
      <left/>
      <right/>
      <top style="medium">
        <color auto="1"/>
      </top>
      <bottom/>
      <diagonal/>
    </border>
    <border>
      <left style="medium">
        <color auto="1"/>
      </left>
      <right/>
      <top style="thin">
        <color auto="1"/>
      </top>
      <bottom style="medium">
        <color auto="1"/>
      </bottom>
      <diagonal/>
    </border>
    <border>
      <left/>
      <right/>
      <top style="thin">
        <color auto="1"/>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style="thin">
        <color auto="1"/>
      </left>
      <right/>
      <top style="medium">
        <color auto="1"/>
      </top>
      <bottom style="thin">
        <color auto="1"/>
      </bottom>
      <diagonal/>
    </border>
    <border>
      <left style="thin">
        <color indexed="64"/>
      </left>
      <right style="thin">
        <color indexed="64"/>
      </right>
      <top/>
      <bottom style="medium">
        <color auto="1"/>
      </bottom>
      <diagonal/>
    </border>
    <border>
      <left style="medium">
        <color auto="1"/>
      </left>
      <right/>
      <top style="medium">
        <color auto="1"/>
      </top>
      <bottom style="thin">
        <color auto="1"/>
      </bottom>
      <diagonal/>
    </border>
    <border>
      <left/>
      <right style="medium">
        <color indexed="64"/>
      </right>
      <top style="thin">
        <color indexed="64"/>
      </top>
      <bottom/>
      <diagonal/>
    </border>
    <border>
      <left/>
      <right style="thin">
        <color auto="1"/>
      </right>
      <top style="medium">
        <color indexed="64"/>
      </top>
      <bottom style="thin">
        <color auto="1"/>
      </bottom>
      <diagonal/>
    </border>
    <border>
      <left/>
      <right style="medium">
        <color indexed="64"/>
      </right>
      <top style="medium">
        <color indexed="64"/>
      </top>
      <bottom style="thin">
        <color auto="1"/>
      </bottom>
      <diagonal/>
    </border>
    <border>
      <left/>
      <right/>
      <top style="medium">
        <color auto="1"/>
      </top>
      <bottom style="thin">
        <color indexed="64"/>
      </bottom>
      <diagonal/>
    </border>
  </borders>
  <cellStyleXfs count="139">
    <xf numFmtId="0" fontId="0" fillId="0" borderId="0"/>
    <xf numFmtId="0" fontId="12" fillId="0" borderId="0"/>
    <xf numFmtId="0" fontId="27" fillId="0" borderId="0" applyNumberFormat="0" applyFill="0" applyBorder="0" applyAlignment="0" applyProtection="0">
      <alignment vertical="top"/>
      <protection locked="0"/>
    </xf>
    <xf numFmtId="0" fontId="9" fillId="0" borderId="0"/>
    <xf numFmtId="0" fontId="9" fillId="0" borderId="0"/>
    <xf numFmtId="0" fontId="9" fillId="0" borderId="0"/>
    <xf numFmtId="9" fontId="12" fillId="0" borderId="0" applyFont="0" applyFill="0" applyBorder="0" applyAlignment="0" applyProtection="0"/>
    <xf numFmtId="0" fontId="36" fillId="0" borderId="0" applyNumberForma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4" fontId="12" fillId="0" borderId="0" applyFont="0" applyFill="0" applyBorder="0" applyAlignment="0" applyProtection="0"/>
    <xf numFmtId="0" fontId="36" fillId="0" borderId="0" applyNumberFormat="0" applyFill="0" applyBorder="0" applyAlignment="0" applyProtection="0">
      <alignment vertical="top"/>
      <protection locked="0"/>
    </xf>
    <xf numFmtId="0" fontId="8" fillId="0" borderId="0"/>
    <xf numFmtId="0" fontId="8" fillId="0" borderId="0"/>
    <xf numFmtId="0" fontId="8" fillId="0" borderId="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9" fontId="40"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5" fillId="0" borderId="0"/>
    <xf numFmtId="0" fontId="12" fillId="0" borderId="0"/>
    <xf numFmtId="0" fontId="4" fillId="0" borderId="0"/>
    <xf numFmtId="0" fontId="3" fillId="0" borderId="0"/>
    <xf numFmtId="0" fontId="45" fillId="0" borderId="0"/>
    <xf numFmtId="43" fontId="12" fillId="0" borderId="0" applyFont="0" applyFill="0" applyBorder="0" applyAlignment="0" applyProtection="0"/>
    <xf numFmtId="43" fontId="2" fillId="0" borderId="0" applyFont="0" applyFill="0" applyBorder="0" applyAlignment="0" applyProtection="0"/>
    <xf numFmtId="43" fontId="12" fillId="0" borderId="0" applyFont="0" applyFill="0" applyBorder="0" applyAlignment="0" applyProtection="0"/>
    <xf numFmtId="43" fontId="2" fillId="0" borderId="0" applyFont="0" applyFill="0" applyBorder="0" applyAlignment="0" applyProtection="0"/>
    <xf numFmtId="43" fontId="19" fillId="0" borderId="0" applyFont="0" applyFill="0" applyBorder="0" applyAlignment="0" applyProtection="0"/>
    <xf numFmtId="43" fontId="2" fillId="0" borderId="0" applyFont="0" applyFill="0" applyBorder="0" applyAlignment="0" applyProtection="0"/>
    <xf numFmtId="44" fontId="12" fillId="0" borderId="0" applyFont="0" applyFill="0" applyBorder="0" applyAlignment="0" applyProtection="0"/>
    <xf numFmtId="0" fontId="12" fillId="0" borderId="0"/>
    <xf numFmtId="0" fontId="2" fillId="0" borderId="0"/>
    <xf numFmtId="0" fontId="2" fillId="0" borderId="0"/>
    <xf numFmtId="0" fontId="12" fillId="0" borderId="0"/>
    <xf numFmtId="0" fontId="12" fillId="0" borderId="0"/>
    <xf numFmtId="0" fontId="49"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12"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19" fillId="0" borderId="0" applyFont="0" applyFill="0" applyBorder="0" applyAlignment="0" applyProtection="0"/>
    <xf numFmtId="9" fontId="2" fillId="0" borderId="0" applyFont="0" applyFill="0" applyBorder="0" applyAlignment="0" applyProtection="0"/>
    <xf numFmtId="0" fontId="1" fillId="0" borderId="0"/>
    <xf numFmtId="0" fontId="1" fillId="0" borderId="0"/>
    <xf numFmtId="0" fontId="1" fillId="0" borderId="0"/>
    <xf numFmtId="0" fontId="1" fillId="0" borderId="0"/>
    <xf numFmtId="43" fontId="70" fillId="0" borderId="0" applyFont="0" applyFill="0" applyBorder="0" applyAlignment="0" applyProtection="0"/>
  </cellStyleXfs>
  <cellXfs count="589">
    <xf numFmtId="0" fontId="0" fillId="0" borderId="0" xfId="0"/>
    <xf numFmtId="0" fontId="12" fillId="0" borderId="0" xfId="0" applyFont="1"/>
    <xf numFmtId="0" fontId="12" fillId="0" borderId="0" xfId="0" applyFont="1" applyAlignment="1">
      <alignment vertical="center"/>
    </xf>
    <xf numFmtId="0" fontId="14" fillId="0" borderId="0" xfId="0" applyFont="1"/>
    <xf numFmtId="0" fontId="21" fillId="0" borderId="0" xfId="0" applyFont="1" applyAlignment="1">
      <alignment vertical="center"/>
    </xf>
    <xf numFmtId="0" fontId="0" fillId="0" borderId="0" xfId="0" applyAlignment="1">
      <alignment vertical="center"/>
    </xf>
    <xf numFmtId="0" fontId="12" fillId="0" borderId="0" xfId="0" applyFont="1" applyAlignment="1">
      <alignment horizontal="left" vertical="center"/>
    </xf>
    <xf numFmtId="0" fontId="12" fillId="0" borderId="0" xfId="1" applyAlignment="1">
      <alignment vertical="center"/>
    </xf>
    <xf numFmtId="0" fontId="12" fillId="0" borderId="0" xfId="1"/>
    <xf numFmtId="0" fontId="25" fillId="0" borderId="0" xfId="1" applyFont="1"/>
    <xf numFmtId="0" fontId="12" fillId="0" borderId="0" xfId="1" applyAlignment="1">
      <alignment horizontal="left" vertical="center"/>
    </xf>
    <xf numFmtId="0" fontId="13" fillId="0" borderId="0" xfId="0" applyFont="1" applyAlignment="1">
      <alignment horizontal="left"/>
    </xf>
    <xf numFmtId="0" fontId="33" fillId="0" borderId="0" xfId="0" applyFont="1" applyAlignment="1">
      <alignment vertical="center"/>
    </xf>
    <xf numFmtId="164" fontId="12" fillId="6" borderId="2" xfId="0" applyNumberFormat="1" applyFont="1" applyFill="1" applyBorder="1" applyAlignment="1" applyProtection="1">
      <alignment horizontal="right" vertical="center"/>
      <protection locked="0"/>
    </xf>
    <xf numFmtId="164" fontId="12" fillId="2" borderId="2" xfId="0" applyNumberFormat="1" applyFont="1" applyFill="1" applyBorder="1" applyAlignment="1" applyProtection="1">
      <alignment horizontal="right" vertical="center"/>
      <protection locked="0"/>
    </xf>
    <xf numFmtId="0" fontId="32" fillId="0" borderId="0" xfId="0" applyFont="1" applyAlignment="1">
      <alignment vertical="center"/>
    </xf>
    <xf numFmtId="0" fontId="20" fillId="6" borderId="34" xfId="0" applyFont="1" applyFill="1" applyBorder="1" applyAlignment="1">
      <alignment vertical="center"/>
    </xf>
    <xf numFmtId="164" fontId="11" fillId="2" borderId="35" xfId="0" applyNumberFormat="1" applyFont="1" applyFill="1" applyBorder="1" applyAlignment="1" applyProtection="1">
      <alignment horizontal="right" vertical="center"/>
      <protection locked="0"/>
    </xf>
    <xf numFmtId="164" fontId="12" fillId="2" borderId="28" xfId="0" applyNumberFormat="1" applyFont="1" applyFill="1" applyBorder="1" applyAlignment="1" applyProtection="1">
      <alignment horizontal="right" vertical="center"/>
      <protection locked="0"/>
    </xf>
    <xf numFmtId="164" fontId="12" fillId="2" borderId="3" xfId="0" applyNumberFormat="1" applyFont="1" applyFill="1" applyBorder="1" applyAlignment="1" applyProtection="1">
      <alignment horizontal="right" vertical="center"/>
      <protection locked="0"/>
    </xf>
    <xf numFmtId="164" fontId="11" fillId="2" borderId="33" xfId="0" applyNumberFormat="1" applyFont="1" applyFill="1" applyBorder="1" applyAlignment="1">
      <alignment vertical="center"/>
    </xf>
    <xf numFmtId="0" fontId="12" fillId="6" borderId="17" xfId="0" applyFont="1" applyFill="1" applyBorder="1" applyAlignment="1">
      <alignment horizontal="left" vertical="center"/>
    </xf>
    <xf numFmtId="0" fontId="11" fillId="2" borderId="16" xfId="0" applyFont="1" applyFill="1" applyBorder="1" applyAlignment="1">
      <alignment horizontal="center" vertical="center"/>
    </xf>
    <xf numFmtId="0" fontId="12" fillId="6" borderId="0" xfId="0" applyFont="1" applyFill="1" applyAlignment="1">
      <alignment horizontal="left" vertical="center" indent="2"/>
    </xf>
    <xf numFmtId="0" fontId="12" fillId="6" borderId="0" xfId="0" applyFont="1" applyFill="1" applyAlignment="1">
      <alignment horizontal="left" vertical="center"/>
    </xf>
    <xf numFmtId="0" fontId="12" fillId="0" borderId="20" xfId="0" applyFont="1" applyBorder="1"/>
    <xf numFmtId="0" fontId="12" fillId="0" borderId="19" xfId="0" applyFont="1" applyBorder="1" applyAlignment="1">
      <alignment vertical="center"/>
    </xf>
    <xf numFmtId="0" fontId="12" fillId="2" borderId="19" xfId="0" applyFont="1" applyFill="1" applyBorder="1" applyAlignment="1">
      <alignment vertical="center"/>
    </xf>
    <xf numFmtId="0" fontId="12" fillId="6" borderId="23" xfId="0" applyFont="1" applyFill="1" applyBorder="1" applyAlignment="1">
      <alignment vertical="center" wrapText="1"/>
    </xf>
    <xf numFmtId="164" fontId="12" fillId="4" borderId="3" xfId="0" applyNumberFormat="1" applyFont="1" applyFill="1" applyBorder="1" applyAlignment="1" applyProtection="1">
      <alignment horizontal="right" vertical="center"/>
      <protection locked="0"/>
    </xf>
    <xf numFmtId="0" fontId="13" fillId="0" borderId="0" xfId="0" applyFont="1" applyAlignment="1">
      <alignment horizontal="left" vertical="center"/>
    </xf>
    <xf numFmtId="0" fontId="26" fillId="0" borderId="0" xfId="1" applyFont="1" applyAlignment="1">
      <alignment horizontal="center" vertical="center"/>
    </xf>
    <xf numFmtId="0" fontId="17" fillId="0" borderId="21" xfId="12" applyFont="1" applyBorder="1" applyAlignment="1">
      <alignment horizontal="left"/>
    </xf>
    <xf numFmtId="164" fontId="17" fillId="0" borderId="22" xfId="12" applyNumberFormat="1" applyFont="1" applyBorder="1" applyAlignment="1">
      <alignment horizontal="right" wrapText="1"/>
    </xf>
    <xf numFmtId="0" fontId="17" fillId="0" borderId="23" xfId="12" applyFont="1" applyBorder="1" applyAlignment="1">
      <alignment horizontal="left"/>
    </xf>
    <xf numFmtId="0" fontId="17" fillId="0" borderId="24" xfId="12" applyFont="1" applyBorder="1" applyAlignment="1">
      <alignment horizontal="left"/>
    </xf>
    <xf numFmtId="0" fontId="17" fillId="0" borderId="14" xfId="12" applyFont="1" applyBorder="1" applyAlignment="1">
      <alignment horizontal="left" indent="2"/>
    </xf>
    <xf numFmtId="164" fontId="17" fillId="3" borderId="22" xfId="12" applyNumberFormat="1" applyFont="1" applyFill="1" applyBorder="1" applyAlignment="1">
      <alignment horizontal="right" vertical="center" wrapText="1"/>
    </xf>
    <xf numFmtId="164" fontId="17" fillId="3" borderId="19" xfId="12" applyNumberFormat="1" applyFont="1" applyFill="1" applyBorder="1" applyAlignment="1">
      <alignment vertical="center"/>
    </xf>
    <xf numFmtId="164" fontId="17" fillId="3" borderId="16" xfId="12" applyNumberFormat="1" applyFont="1" applyFill="1" applyBorder="1" applyAlignment="1">
      <alignment vertical="center"/>
    </xf>
    <xf numFmtId="164" fontId="17" fillId="3" borderId="19" xfId="12" applyNumberFormat="1" applyFont="1" applyFill="1" applyBorder="1" applyAlignment="1">
      <alignment horizontal="right" vertical="center"/>
    </xf>
    <xf numFmtId="164" fontId="17" fillId="3" borderId="16" xfId="12" applyNumberFormat="1" applyFont="1" applyFill="1" applyBorder="1" applyAlignment="1">
      <alignment horizontal="right" vertical="center"/>
    </xf>
    <xf numFmtId="164" fontId="17" fillId="0" borderId="30" xfId="0" applyNumberFormat="1" applyFont="1" applyBorder="1" applyAlignment="1">
      <alignment horizontal="right" vertical="center" wrapText="1"/>
    </xf>
    <xf numFmtId="0" fontId="32" fillId="0" borderId="47" xfId="0" applyFont="1" applyBorder="1" applyAlignment="1">
      <alignment horizontal="center" vertical="top"/>
    </xf>
    <xf numFmtId="0" fontId="32" fillId="0" borderId="49" xfId="0" applyFont="1" applyBorder="1" applyAlignment="1">
      <alignment horizontal="center" vertical="top"/>
    </xf>
    <xf numFmtId="0" fontId="29" fillId="0" borderId="50" xfId="0" applyFont="1" applyBorder="1" applyAlignment="1">
      <alignment vertical="top" wrapText="1"/>
    </xf>
    <xf numFmtId="0" fontId="14" fillId="2" borderId="0" xfId="0" applyFont="1" applyFill="1"/>
    <xf numFmtId="0" fontId="29" fillId="0" borderId="51" xfId="0" applyFont="1" applyBorder="1" applyAlignment="1">
      <alignment horizontal="center" vertical="top" wrapText="1"/>
    </xf>
    <xf numFmtId="0" fontId="29" fillId="0" borderId="52" xfId="0" applyFont="1" applyBorder="1" applyAlignment="1">
      <alignment horizontal="center" vertical="top" wrapText="1"/>
    </xf>
    <xf numFmtId="164" fontId="17" fillId="2" borderId="32" xfId="0" applyNumberFormat="1" applyFont="1" applyFill="1" applyBorder="1" applyAlignment="1">
      <alignment horizontal="right" vertical="center"/>
    </xf>
    <xf numFmtId="164" fontId="17" fillId="2" borderId="33" xfId="0" applyNumberFormat="1" applyFont="1" applyFill="1" applyBorder="1" applyAlignment="1">
      <alignment horizontal="right" vertical="center"/>
    </xf>
    <xf numFmtId="164" fontId="17" fillId="2" borderId="2" xfId="0" applyNumberFormat="1" applyFont="1" applyFill="1" applyBorder="1" applyAlignment="1">
      <alignment horizontal="right" vertical="center"/>
    </xf>
    <xf numFmtId="164" fontId="17" fillId="2" borderId="54" xfId="0" applyNumberFormat="1" applyFont="1" applyFill="1" applyBorder="1" applyAlignment="1">
      <alignment horizontal="right" vertical="center"/>
    </xf>
    <xf numFmtId="164" fontId="17" fillId="0" borderId="53" xfId="0" applyNumberFormat="1" applyFont="1" applyBorder="1" applyAlignment="1">
      <alignment horizontal="right" vertical="center" wrapText="1"/>
    </xf>
    <xf numFmtId="164" fontId="12" fillId="0" borderId="0" xfId="1" applyNumberFormat="1" applyProtection="1">
      <protection locked="0"/>
    </xf>
    <xf numFmtId="0" fontId="26" fillId="0" borderId="0" xfId="1" applyFont="1" applyAlignment="1">
      <alignment vertical="center"/>
    </xf>
    <xf numFmtId="0" fontId="26" fillId="0" borderId="0" xfId="0" applyFont="1" applyAlignment="1">
      <alignment vertical="center"/>
    </xf>
    <xf numFmtId="0" fontId="53" fillId="5" borderId="10" xfId="0" applyFont="1" applyFill="1" applyBorder="1" applyAlignment="1">
      <alignment horizontal="center" vertical="center" wrapText="1"/>
    </xf>
    <xf numFmtId="0" fontId="53" fillId="2" borderId="10" xfId="1" applyFont="1" applyFill="1" applyBorder="1" applyAlignment="1">
      <alignment horizontal="center" vertical="center" wrapText="1"/>
    </xf>
    <xf numFmtId="0" fontId="53" fillId="5" borderId="48" xfId="0" applyFont="1" applyFill="1" applyBorder="1" applyAlignment="1">
      <alignment horizontal="center" vertical="center" wrapText="1"/>
    </xf>
    <xf numFmtId="0" fontId="56" fillId="0" borderId="57" xfId="1" applyFont="1" applyBorder="1" applyAlignment="1">
      <alignment horizontal="left" vertical="top" wrapText="1"/>
    </xf>
    <xf numFmtId="0" fontId="14" fillId="0" borderId="0" xfId="1" applyFont="1" applyAlignment="1">
      <alignment horizontal="left" vertical="top" wrapText="1"/>
    </xf>
    <xf numFmtId="0" fontId="57" fillId="3" borderId="55" xfId="1" applyFont="1" applyFill="1" applyBorder="1" applyAlignment="1">
      <alignment horizontal="left" vertical="top" wrapText="1"/>
    </xf>
    <xf numFmtId="0" fontId="41" fillId="0" borderId="0" xfId="1" applyFont="1" applyAlignment="1">
      <alignment horizontal="left" vertical="center" wrapText="1"/>
    </xf>
    <xf numFmtId="0" fontId="52" fillId="0" borderId="0" xfId="1" applyFont="1" applyAlignment="1">
      <alignment horizontal="left" vertical="top" wrapText="1"/>
    </xf>
    <xf numFmtId="0" fontId="41" fillId="0" borderId="57" xfId="1" applyFont="1" applyBorder="1" applyAlignment="1">
      <alignment horizontal="left" vertical="center" wrapText="1"/>
    </xf>
    <xf numFmtId="0" fontId="44" fillId="3" borderId="16" xfId="1" applyFont="1" applyFill="1" applyBorder="1" applyAlignment="1">
      <alignment horizontal="left" vertical="center" wrapText="1"/>
    </xf>
    <xf numFmtId="0" fontId="14" fillId="0" borderId="0" xfId="1" applyFont="1" applyAlignment="1">
      <alignment horizontal="left" vertical="center" wrapText="1"/>
    </xf>
    <xf numFmtId="0" fontId="57" fillId="3" borderId="55" xfId="1" applyFont="1" applyFill="1" applyBorder="1" applyAlignment="1">
      <alignment horizontal="left" vertical="center" wrapText="1"/>
    </xf>
    <xf numFmtId="0" fontId="46" fillId="0" borderId="55" xfId="1" applyFont="1" applyBorder="1" applyAlignment="1">
      <alignment horizontal="left" vertical="center" wrapText="1"/>
    </xf>
    <xf numFmtId="0" fontId="59" fillId="3" borderId="55" xfId="1" applyFont="1" applyFill="1" applyBorder="1" applyAlignment="1">
      <alignment horizontal="left" vertical="center" wrapText="1"/>
    </xf>
    <xf numFmtId="0" fontId="60" fillId="0" borderId="0" xfId="1" applyFont="1" applyAlignment="1">
      <alignment horizontal="left" vertical="center" wrapText="1"/>
    </xf>
    <xf numFmtId="0" fontId="41" fillId="0" borderId="55" xfId="1" applyFont="1" applyBorder="1" applyAlignment="1">
      <alignment horizontal="left" vertical="center" wrapText="1"/>
    </xf>
    <xf numFmtId="0" fontId="57" fillId="7" borderId="55" xfId="1" applyFont="1" applyFill="1" applyBorder="1" applyAlignment="1">
      <alignment horizontal="left" vertical="center" wrapText="1"/>
    </xf>
    <xf numFmtId="0" fontId="41" fillId="7" borderId="57" xfId="1" applyFont="1" applyFill="1" applyBorder="1" applyAlignment="1">
      <alignment horizontal="left" vertical="center" wrapText="1"/>
    </xf>
    <xf numFmtId="0" fontId="61" fillId="3" borderId="55" xfId="1" applyFont="1" applyFill="1" applyBorder="1" applyAlignment="1">
      <alignment horizontal="left" vertical="center" wrapText="1"/>
    </xf>
    <xf numFmtId="0" fontId="62" fillId="0" borderId="57" xfId="1" applyFont="1" applyBorder="1" applyAlignment="1">
      <alignment horizontal="left" vertical="center" wrapText="1"/>
    </xf>
    <xf numFmtId="0" fontId="58" fillId="0" borderId="0" xfId="1" applyFont="1" applyAlignment="1">
      <alignment horizontal="left" vertical="center" wrapText="1"/>
    </xf>
    <xf numFmtId="0" fontId="58" fillId="0" borderId="57" xfId="1" applyFont="1" applyBorder="1" applyAlignment="1">
      <alignment horizontal="left" vertical="center" wrapText="1"/>
    </xf>
    <xf numFmtId="0" fontId="14" fillId="0" borderId="57" xfId="1" applyFont="1" applyBorder="1" applyAlignment="1">
      <alignment horizontal="left" vertical="top" wrapText="1"/>
    </xf>
    <xf numFmtId="0" fontId="12" fillId="0" borderId="1" xfId="0" applyFont="1" applyBorder="1"/>
    <xf numFmtId="165" fontId="12" fillId="3" borderId="55" xfId="1" applyNumberFormat="1" applyFill="1" applyBorder="1" applyAlignment="1" applyProtection="1">
      <alignment horizontal="right"/>
      <protection locked="0"/>
    </xf>
    <xf numFmtId="164" fontId="12" fillId="3" borderId="0" xfId="1" applyNumberFormat="1" applyFill="1" applyAlignment="1">
      <alignment horizontal="right" vertical="center"/>
    </xf>
    <xf numFmtId="0" fontId="63" fillId="3" borderId="0" xfId="1" quotePrefix="1" applyFont="1" applyFill="1" applyAlignment="1">
      <alignment horizontal="left" vertical="center"/>
    </xf>
    <xf numFmtId="165" fontId="12" fillId="3" borderId="1" xfId="1" applyNumberFormat="1" applyFill="1" applyBorder="1" applyAlignment="1" applyProtection="1">
      <alignment horizontal="right"/>
      <protection locked="0"/>
    </xf>
    <xf numFmtId="165" fontId="11" fillId="3" borderId="16" xfId="1" applyNumberFormat="1" applyFont="1" applyFill="1" applyBorder="1" applyAlignment="1" applyProtection="1">
      <alignment horizontal="right"/>
      <protection locked="0"/>
    </xf>
    <xf numFmtId="164" fontId="12" fillId="0" borderId="0" xfId="1" applyNumberFormat="1" applyAlignment="1">
      <alignment horizontal="left" vertical="center"/>
    </xf>
    <xf numFmtId="164" fontId="17" fillId="0" borderId="21" xfId="12" applyNumberFormat="1" applyFont="1" applyBorder="1" applyAlignment="1">
      <alignment horizontal="right" wrapText="1"/>
    </xf>
    <xf numFmtId="164" fontId="17" fillId="3" borderId="7" xfId="12" applyNumberFormat="1" applyFont="1" applyFill="1" applyBorder="1" applyAlignment="1">
      <alignment vertical="center"/>
    </xf>
    <xf numFmtId="164" fontId="17" fillId="3" borderId="29" xfId="12" applyNumberFormat="1" applyFont="1" applyFill="1" applyBorder="1" applyAlignment="1">
      <alignment horizontal="right" wrapText="1"/>
    </xf>
    <xf numFmtId="164" fontId="17" fillId="3" borderId="32" xfId="12" applyNumberFormat="1" applyFont="1" applyFill="1" applyBorder="1" applyAlignment="1">
      <alignment horizontal="right" wrapText="1"/>
    </xf>
    <xf numFmtId="164" fontId="17" fillId="3" borderId="34" xfId="12" applyNumberFormat="1" applyFont="1" applyFill="1" applyBorder="1" applyAlignment="1">
      <alignment horizontal="right" wrapText="1"/>
    </xf>
    <xf numFmtId="0" fontId="19" fillId="0" borderId="0" xfId="1" applyFont="1"/>
    <xf numFmtId="0" fontId="23" fillId="0" borderId="2" xfId="1" applyFont="1" applyBorder="1"/>
    <xf numFmtId="0" fontId="11" fillId="2" borderId="2" xfId="1" applyFont="1" applyFill="1" applyBorder="1" applyAlignment="1">
      <alignment horizontal="center" vertical="center" wrapText="1"/>
    </xf>
    <xf numFmtId="0" fontId="11" fillId="0" borderId="0" xfId="1" applyFont="1"/>
    <xf numFmtId="0" fontId="65" fillId="6" borderId="0" xfId="0" applyFont="1" applyFill="1"/>
    <xf numFmtId="0" fontId="66" fillId="6" borderId="0" xfId="0" applyFont="1" applyFill="1"/>
    <xf numFmtId="0" fontId="17" fillId="6" borderId="0" xfId="0" applyFont="1" applyFill="1"/>
    <xf numFmtId="0" fontId="17" fillId="6" borderId="0" xfId="0" applyFont="1" applyFill="1" applyAlignment="1">
      <alignment wrapText="1"/>
    </xf>
    <xf numFmtId="0" fontId="12" fillId="6" borderId="0" xfId="0" applyFont="1" applyFill="1" applyAlignment="1">
      <alignment vertical="center"/>
    </xf>
    <xf numFmtId="0" fontId="14" fillId="0" borderId="61" xfId="1" applyFont="1" applyBorder="1" applyAlignment="1">
      <alignment horizontal="left" vertical="top" wrapText="1"/>
    </xf>
    <xf numFmtId="0" fontId="11" fillId="2" borderId="55" xfId="1" applyFont="1" applyFill="1" applyBorder="1" applyAlignment="1">
      <alignment horizontal="center"/>
    </xf>
    <xf numFmtId="0" fontId="11" fillId="2" borderId="55" xfId="1" applyFont="1" applyFill="1" applyBorder="1" applyAlignment="1">
      <alignment horizontal="center" vertical="center" wrapText="1"/>
    </xf>
    <xf numFmtId="0" fontId="23" fillId="0" borderId="55" xfId="1" applyFont="1" applyBorder="1"/>
    <xf numFmtId="0" fontId="12" fillId="0" borderId="55" xfId="1" applyBorder="1" applyAlignment="1">
      <alignment horizontal="left" indent="1"/>
    </xf>
    <xf numFmtId="164" fontId="12" fillId="0" borderId="55" xfId="1" applyNumberFormat="1" applyBorder="1" applyProtection="1">
      <protection locked="0"/>
    </xf>
    <xf numFmtId="0" fontId="12" fillId="0" borderId="55" xfId="1" applyBorder="1"/>
    <xf numFmtId="164" fontId="12" fillId="2" borderId="55" xfId="1" applyNumberFormat="1" applyFill="1" applyBorder="1" applyProtection="1">
      <protection locked="0"/>
    </xf>
    <xf numFmtId="0" fontId="11" fillId="0" borderId="55" xfId="1" applyFont="1" applyBorder="1"/>
    <xf numFmtId="164" fontId="17" fillId="2" borderId="55" xfId="0" applyNumberFormat="1" applyFont="1" applyFill="1" applyBorder="1" applyAlignment="1">
      <alignment horizontal="right" vertical="center"/>
    </xf>
    <xf numFmtId="164" fontId="12" fillId="6" borderId="55" xfId="0" applyNumberFormat="1" applyFont="1" applyFill="1" applyBorder="1" applyAlignment="1" applyProtection="1">
      <alignment horizontal="right" vertical="center"/>
      <protection locked="0"/>
    </xf>
    <xf numFmtId="164" fontId="12" fillId="2" borderId="55" xfId="0" applyNumberFormat="1" applyFont="1" applyFill="1" applyBorder="1" applyAlignment="1" applyProtection="1">
      <alignment horizontal="right" vertical="center"/>
      <protection locked="0"/>
    </xf>
    <xf numFmtId="164" fontId="12" fillId="4" borderId="55" xfId="0" applyNumberFormat="1" applyFont="1" applyFill="1" applyBorder="1" applyAlignment="1" applyProtection="1">
      <alignment horizontal="right" vertical="center"/>
      <protection locked="0"/>
    </xf>
    <xf numFmtId="0" fontId="0" fillId="0" borderId="56" xfId="0" applyBorder="1"/>
    <xf numFmtId="0" fontId="0" fillId="0" borderId="28" xfId="0" applyBorder="1"/>
    <xf numFmtId="0" fontId="0" fillId="0" borderId="62" xfId="0" applyBorder="1"/>
    <xf numFmtId="165" fontId="12" fillId="2" borderId="63" xfId="1" applyNumberFormat="1" applyFill="1" applyBorder="1" applyAlignment="1" applyProtection="1">
      <alignment horizontal="right"/>
      <protection locked="0"/>
    </xf>
    <xf numFmtId="165" fontId="12" fillId="2" borderId="64" xfId="1" applyNumberFormat="1" applyFill="1" applyBorder="1" applyAlignment="1" applyProtection="1">
      <alignment horizontal="right"/>
      <protection locked="0"/>
    </xf>
    <xf numFmtId="165" fontId="12" fillId="2" borderId="27" xfId="1" applyNumberFormat="1" applyFill="1" applyBorder="1" applyAlignment="1" applyProtection="1">
      <alignment horizontal="right"/>
      <protection locked="0"/>
    </xf>
    <xf numFmtId="0" fontId="0" fillId="0" borderId="57" xfId="0" applyBorder="1"/>
    <xf numFmtId="0" fontId="0" fillId="2" borderId="3" xfId="0" applyFill="1" applyBorder="1"/>
    <xf numFmtId="164" fontId="17" fillId="2" borderId="3" xfId="0" applyNumberFormat="1" applyFont="1" applyFill="1" applyBorder="1" applyAlignment="1">
      <alignment horizontal="right" wrapText="1"/>
    </xf>
    <xf numFmtId="9" fontId="0" fillId="2" borderId="64" xfId="83" applyFont="1" applyFill="1" applyBorder="1" applyAlignment="1">
      <alignment horizontal="right"/>
    </xf>
    <xf numFmtId="9" fontId="11" fillId="0" borderId="4" xfId="83" applyFont="1" applyFill="1" applyBorder="1" applyAlignment="1">
      <alignment horizontal="center" vertical="center"/>
    </xf>
    <xf numFmtId="0" fontId="12" fillId="2" borderId="55" xfId="1" applyFill="1" applyBorder="1"/>
    <xf numFmtId="0" fontId="19" fillId="2" borderId="55" xfId="1" applyFont="1" applyFill="1" applyBorder="1"/>
    <xf numFmtId="0" fontId="11" fillId="2" borderId="3" xfId="1" applyFont="1" applyFill="1" applyBorder="1" applyAlignment="1">
      <alignment horizontal="center"/>
    </xf>
    <xf numFmtId="164" fontId="12" fillId="0" borderId="3" xfId="1" applyNumberFormat="1" applyBorder="1" applyProtection="1">
      <protection locked="0"/>
    </xf>
    <xf numFmtId="164" fontId="12" fillId="2" borderId="3" xfId="1" applyNumberFormat="1" applyFill="1" applyBorder="1" applyProtection="1">
      <protection locked="0"/>
    </xf>
    <xf numFmtId="164" fontId="17" fillId="3" borderId="68" xfId="12" applyNumberFormat="1" applyFont="1" applyFill="1" applyBorder="1" applyAlignment="1">
      <alignment horizontal="right" wrapText="1"/>
    </xf>
    <xf numFmtId="164" fontId="17" fillId="3" borderId="23" xfId="12" applyNumberFormat="1" applyFont="1" applyFill="1" applyBorder="1" applyAlignment="1">
      <alignment horizontal="right" wrapText="1"/>
    </xf>
    <xf numFmtId="164" fontId="17" fillId="3" borderId="60" xfId="12" applyNumberFormat="1" applyFont="1" applyFill="1" applyBorder="1" applyAlignment="1">
      <alignment horizontal="right" wrapText="1"/>
    </xf>
    <xf numFmtId="164" fontId="17" fillId="3" borderId="10" xfId="12" applyNumberFormat="1" applyFont="1" applyFill="1" applyBorder="1" applyAlignment="1">
      <alignment vertical="center"/>
    </xf>
    <xf numFmtId="165" fontId="12" fillId="0" borderId="0" xfId="83" applyNumberFormat="1" applyFont="1"/>
    <xf numFmtId="165" fontId="54" fillId="0" borderId="0" xfId="83" applyNumberFormat="1" applyFont="1" applyBorder="1" applyAlignment="1">
      <alignment horizontal="left" vertical="center" wrapText="1"/>
    </xf>
    <xf numFmtId="165" fontId="16" fillId="7" borderId="0" xfId="83" applyNumberFormat="1" applyFont="1" applyFill="1" applyBorder="1" applyAlignment="1">
      <alignment horizontal="left" vertical="center" wrapText="1"/>
    </xf>
    <xf numFmtId="165" fontId="28" fillId="0" borderId="0" xfId="83" applyNumberFormat="1" applyFont="1" applyBorder="1" applyAlignment="1">
      <alignment horizontal="left"/>
    </xf>
    <xf numFmtId="165" fontId="16" fillId="0" borderId="0" xfId="83" applyNumberFormat="1" applyFont="1" applyFill="1" applyBorder="1" applyAlignment="1">
      <alignment horizontal="center" vertical="center" wrapText="1"/>
    </xf>
    <xf numFmtId="165" fontId="17" fillId="3" borderId="57" xfId="83" applyNumberFormat="1" applyFont="1" applyFill="1" applyBorder="1" applyAlignment="1">
      <alignment horizontal="right" wrapText="1"/>
    </xf>
    <xf numFmtId="165" fontId="17" fillId="3" borderId="2" xfId="83" applyNumberFormat="1" applyFont="1" applyFill="1" applyBorder="1" applyAlignment="1">
      <alignment horizontal="right" wrapText="1"/>
    </xf>
    <xf numFmtId="165" fontId="12" fillId="0" borderId="0" xfId="83" applyNumberFormat="1" applyFont="1" applyAlignment="1">
      <alignment horizontal="left" vertical="center"/>
    </xf>
    <xf numFmtId="165" fontId="43" fillId="0" borderId="0" xfId="83" applyNumberFormat="1" applyFont="1" applyBorder="1" applyAlignment="1">
      <alignment horizontal="left" vertical="center" wrapText="1"/>
    </xf>
    <xf numFmtId="0" fontId="17" fillId="0" borderId="0" xfId="1" applyFont="1" applyAlignment="1">
      <alignment horizontal="left" vertical="center" wrapText="1"/>
    </xf>
    <xf numFmtId="165" fontId="26" fillId="0" borderId="0" xfId="83" applyNumberFormat="1" applyFont="1" applyAlignment="1">
      <alignment vertical="center"/>
    </xf>
    <xf numFmtId="165" fontId="11" fillId="2" borderId="55" xfId="83" applyNumberFormat="1" applyFont="1" applyFill="1" applyBorder="1" applyAlignment="1">
      <alignment horizontal="center"/>
    </xf>
    <xf numFmtId="165" fontId="0" fillId="2" borderId="64" xfId="83" applyNumberFormat="1" applyFont="1" applyFill="1" applyBorder="1" applyAlignment="1">
      <alignment horizontal="right"/>
    </xf>
    <xf numFmtId="165" fontId="12" fillId="0" borderId="0" xfId="83" applyNumberFormat="1" applyFont="1" applyFill="1" applyBorder="1" applyProtection="1">
      <protection locked="0"/>
    </xf>
    <xf numFmtId="165" fontId="12" fillId="0" borderId="0" xfId="83" applyNumberFormat="1" applyFont="1" applyBorder="1" applyProtection="1">
      <protection locked="0"/>
    </xf>
    <xf numFmtId="165" fontId="0" fillId="0" borderId="0" xfId="83" applyNumberFormat="1" applyFont="1"/>
    <xf numFmtId="165" fontId="11" fillId="2" borderId="4" xfId="83" applyNumberFormat="1" applyFont="1" applyFill="1" applyBorder="1" applyAlignment="1">
      <alignment horizontal="center" vertical="center"/>
    </xf>
    <xf numFmtId="9" fontId="11" fillId="2" borderId="0" xfId="83" applyFont="1" applyFill="1" applyBorder="1" applyAlignment="1">
      <alignment horizontal="center" vertical="center"/>
    </xf>
    <xf numFmtId="165" fontId="0" fillId="2" borderId="0" xfId="83" applyNumberFormat="1" applyFont="1" applyFill="1" applyAlignment="1">
      <alignment horizontal="right"/>
    </xf>
    <xf numFmtId="0" fontId="12" fillId="8" borderId="55" xfId="1" applyFill="1" applyBorder="1"/>
    <xf numFmtId="164" fontId="12" fillId="8" borderId="55" xfId="1" applyNumberFormat="1" applyFill="1" applyBorder="1" applyProtection="1">
      <protection locked="0"/>
    </xf>
    <xf numFmtId="0" fontId="17" fillId="0" borderId="0" xfId="12" applyFont="1" applyAlignment="1">
      <alignment horizontal="left" indent="2"/>
    </xf>
    <xf numFmtId="164" fontId="17" fillId="0" borderId="0" xfId="12" applyNumberFormat="1" applyFont="1" applyAlignment="1">
      <alignment horizontal="right" vertical="center"/>
    </xf>
    <xf numFmtId="165" fontId="11" fillId="0" borderId="0" xfId="1" applyNumberFormat="1" applyFont="1" applyAlignment="1" applyProtection="1">
      <alignment horizontal="right"/>
      <protection locked="0"/>
    </xf>
    <xf numFmtId="164" fontId="17" fillId="0" borderId="0" xfId="12" applyNumberFormat="1" applyFont="1" applyAlignment="1">
      <alignment vertical="center"/>
    </xf>
    <xf numFmtId="165" fontId="17" fillId="0" borderId="0" xfId="83" applyNumberFormat="1" applyFont="1" applyFill="1" applyBorder="1" applyAlignment="1">
      <alignment horizontal="right" wrapText="1"/>
    </xf>
    <xf numFmtId="0" fontId="0" fillId="6" borderId="0" xfId="0" applyFill="1"/>
    <xf numFmtId="0" fontId="0" fillId="6" borderId="65" xfId="0" applyFill="1" applyBorder="1"/>
    <xf numFmtId="0" fontId="0" fillId="6" borderId="59" xfId="0" applyFill="1" applyBorder="1"/>
    <xf numFmtId="0" fontId="0" fillId="6" borderId="17" xfId="0" applyFill="1" applyBorder="1"/>
    <xf numFmtId="0" fontId="11" fillId="6" borderId="17" xfId="0" applyFont="1" applyFill="1" applyBorder="1"/>
    <xf numFmtId="0" fontId="11" fillId="6" borderId="24" xfId="0" applyFont="1" applyFill="1" applyBorder="1"/>
    <xf numFmtId="0" fontId="11" fillId="6" borderId="21" xfId="0" applyFont="1" applyFill="1" applyBorder="1"/>
    <xf numFmtId="0" fontId="12" fillId="6" borderId="56" xfId="0" applyFont="1" applyFill="1" applyBorder="1"/>
    <xf numFmtId="0" fontId="11" fillId="10" borderId="18" xfId="0" applyFont="1" applyFill="1" applyBorder="1"/>
    <xf numFmtId="0" fontId="67" fillId="6" borderId="0" xfId="0" applyFont="1" applyFill="1" applyAlignment="1">
      <alignment vertical="center" wrapText="1"/>
    </xf>
    <xf numFmtId="0" fontId="17" fillId="2" borderId="1" xfId="0" applyFont="1" applyFill="1" applyBorder="1" applyAlignment="1">
      <alignment horizontal="center" wrapText="1"/>
    </xf>
    <xf numFmtId="0" fontId="17" fillId="2" borderId="57" xfId="0" applyFont="1" applyFill="1" applyBorder="1" applyAlignment="1">
      <alignment horizontal="center" wrapText="1"/>
    </xf>
    <xf numFmtId="0" fontId="17" fillId="2" borderId="62" xfId="0" applyFont="1" applyFill="1" applyBorder="1" applyAlignment="1">
      <alignment horizontal="center" wrapText="1"/>
    </xf>
    <xf numFmtId="0" fontId="17" fillId="2" borderId="63" xfId="0" applyFont="1" applyFill="1" applyBorder="1" applyAlignment="1">
      <alignment horizontal="center" wrapText="1"/>
    </xf>
    <xf numFmtId="0" fontId="11" fillId="6" borderId="23" xfId="0" applyFont="1" applyFill="1" applyBorder="1"/>
    <xf numFmtId="0" fontId="13" fillId="6" borderId="3" xfId="1" applyFont="1" applyFill="1" applyBorder="1" applyAlignment="1" applyProtection="1">
      <alignment horizontal="center" vertical="center"/>
      <protection locked="0"/>
    </xf>
    <xf numFmtId="0" fontId="13" fillId="6" borderId="4" xfId="1" applyFont="1" applyFill="1" applyBorder="1" applyAlignment="1" applyProtection="1">
      <alignment horizontal="center" vertical="center"/>
      <protection locked="0"/>
    </xf>
    <xf numFmtId="0" fontId="24" fillId="6" borderId="0" xfId="1" applyFont="1" applyFill="1" applyAlignment="1" applyProtection="1">
      <alignment vertical="center"/>
      <protection locked="0"/>
    </xf>
    <xf numFmtId="164" fontId="13" fillId="6" borderId="0" xfId="1" applyNumberFormat="1" applyFont="1" applyFill="1" applyAlignment="1" applyProtection="1">
      <alignment vertical="center"/>
      <protection locked="0"/>
    </xf>
    <xf numFmtId="0" fontId="26" fillId="6" borderId="0" xfId="0" applyFont="1" applyFill="1" applyAlignment="1">
      <alignment vertical="center"/>
    </xf>
    <xf numFmtId="0" fontId="13" fillId="6" borderId="0" xfId="1" applyFont="1" applyFill="1" applyAlignment="1" applyProtection="1">
      <alignment horizontal="left" vertical="center"/>
      <protection locked="0"/>
    </xf>
    <xf numFmtId="164" fontId="17" fillId="6" borderId="0" xfId="0" applyNumberFormat="1" applyFont="1" applyFill="1" applyAlignment="1" applyProtection="1">
      <alignment horizontal="right" vertical="center" wrapText="1"/>
      <protection locked="0"/>
    </xf>
    <xf numFmtId="0" fontId="32" fillId="6" borderId="0" xfId="0" applyFont="1" applyFill="1" applyAlignment="1" applyProtection="1">
      <alignment horizontal="center" vertical="center"/>
      <protection locked="0"/>
    </xf>
    <xf numFmtId="0" fontId="14" fillId="6" borderId="0" xfId="1" applyFont="1" applyFill="1" applyAlignment="1" applyProtection="1">
      <alignment vertical="center"/>
      <protection locked="0"/>
    </xf>
    <xf numFmtId="0" fontId="13" fillId="6" borderId="0" xfId="1" applyFont="1" applyFill="1" applyAlignment="1" applyProtection="1">
      <alignment horizontal="center" vertical="center"/>
      <protection locked="0"/>
    </xf>
    <xf numFmtId="0" fontId="13" fillId="6" borderId="18" xfId="1" applyFont="1" applyFill="1" applyBorder="1" applyAlignment="1" applyProtection="1">
      <alignment horizontal="left" vertical="center"/>
      <protection locked="0"/>
    </xf>
    <xf numFmtId="0" fontId="13" fillId="6" borderId="10" xfId="1" applyFont="1" applyFill="1" applyBorder="1" applyAlignment="1" applyProtection="1">
      <alignment horizontal="left" vertical="center"/>
      <protection locked="0"/>
    </xf>
    <xf numFmtId="164" fontId="17" fillId="9" borderId="58" xfId="0" applyNumberFormat="1" applyFont="1" applyFill="1" applyBorder="1" applyAlignment="1" applyProtection="1">
      <alignment horizontal="right" vertical="center" wrapText="1"/>
      <protection locked="0"/>
    </xf>
    <xf numFmtId="164" fontId="17" fillId="9" borderId="9" xfId="0" applyNumberFormat="1" applyFont="1" applyFill="1" applyBorder="1" applyAlignment="1" applyProtection="1">
      <alignment horizontal="right" vertical="center" wrapText="1"/>
      <protection locked="0"/>
    </xf>
    <xf numFmtId="0" fontId="30" fillId="3" borderId="0" xfId="0" applyFont="1" applyFill="1" applyAlignment="1">
      <alignment horizontal="center" vertical="center" wrapText="1"/>
    </xf>
    <xf numFmtId="164" fontId="17" fillId="3" borderId="0" xfId="0" applyNumberFormat="1" applyFont="1" applyFill="1" applyAlignment="1" applyProtection="1">
      <alignment horizontal="right" vertical="center" wrapText="1"/>
      <protection locked="0"/>
    </xf>
    <xf numFmtId="0" fontId="30" fillId="3" borderId="57" xfId="0" applyFont="1" applyFill="1" applyBorder="1" applyAlignment="1">
      <alignment horizontal="center" vertical="center" wrapText="1"/>
    </xf>
    <xf numFmtId="164" fontId="13" fillId="2" borderId="57" xfId="1" applyNumberFormat="1" applyFont="1" applyFill="1" applyBorder="1" applyAlignment="1" applyProtection="1">
      <alignment vertical="center"/>
      <protection locked="0"/>
    </xf>
    <xf numFmtId="164" fontId="13" fillId="3" borderId="57" xfId="1" applyNumberFormat="1" applyFont="1" applyFill="1" applyBorder="1" applyAlignment="1" applyProtection="1">
      <alignment vertical="center"/>
      <protection locked="0"/>
    </xf>
    <xf numFmtId="0" fontId="30" fillId="3" borderId="56" xfId="0" applyFont="1" applyFill="1" applyBorder="1" applyAlignment="1">
      <alignment horizontal="center" vertical="center" wrapText="1"/>
    </xf>
    <xf numFmtId="0" fontId="30" fillId="3" borderId="64" xfId="0" applyFont="1" applyFill="1" applyBorder="1" applyAlignment="1">
      <alignment horizontal="center" vertical="center" wrapText="1"/>
    </xf>
    <xf numFmtId="164" fontId="17" fillId="3" borderId="56" xfId="0" applyNumberFormat="1" applyFont="1" applyFill="1" applyBorder="1" applyAlignment="1" applyProtection="1">
      <alignment horizontal="right" vertical="center" wrapText="1"/>
      <protection locked="0"/>
    </xf>
    <xf numFmtId="164" fontId="17" fillId="3" borderId="64" xfId="0" applyNumberFormat="1" applyFont="1" applyFill="1" applyBorder="1" applyAlignment="1" applyProtection="1">
      <alignment horizontal="right" vertical="center" wrapText="1"/>
      <protection locked="0"/>
    </xf>
    <xf numFmtId="164" fontId="17" fillId="3" borderId="57" xfId="0" applyNumberFormat="1" applyFont="1" applyFill="1" applyBorder="1" applyAlignment="1" applyProtection="1">
      <alignment horizontal="right" vertical="center" wrapText="1"/>
      <protection locked="0"/>
    </xf>
    <xf numFmtId="0" fontId="30" fillId="2" borderId="55" xfId="0" applyFont="1" applyFill="1" applyBorder="1" applyAlignment="1">
      <alignment horizontal="center" vertical="center" wrapText="1"/>
    </xf>
    <xf numFmtId="0" fontId="30" fillId="2" borderId="3" xfId="0" applyFont="1" applyFill="1" applyBorder="1" applyAlignment="1">
      <alignment horizontal="center" vertical="center" wrapText="1"/>
    </xf>
    <xf numFmtId="0" fontId="30" fillId="2" borderId="5" xfId="0" applyFont="1" applyFill="1" applyBorder="1" applyAlignment="1">
      <alignment horizontal="center" vertical="center" wrapText="1"/>
    </xf>
    <xf numFmtId="0" fontId="30" fillId="2" borderId="4" xfId="0" applyFont="1" applyFill="1" applyBorder="1" applyAlignment="1">
      <alignment horizontal="center" vertical="center" wrapText="1"/>
    </xf>
    <xf numFmtId="0" fontId="14" fillId="6" borderId="56" xfId="1" applyFont="1" applyFill="1" applyBorder="1" applyAlignment="1" applyProtection="1">
      <alignment vertical="center"/>
      <protection locked="0"/>
    </xf>
    <xf numFmtId="0" fontId="24" fillId="2" borderId="66" xfId="1" applyFont="1" applyFill="1" applyBorder="1" applyAlignment="1" applyProtection="1">
      <alignment vertical="center"/>
      <protection locked="0"/>
    </xf>
    <xf numFmtId="164" fontId="17" fillId="9" borderId="56" xfId="0" applyNumberFormat="1" applyFont="1" applyFill="1" applyBorder="1" applyAlignment="1" applyProtection="1">
      <alignment horizontal="right" vertical="center" wrapText="1"/>
      <protection locked="0"/>
    </xf>
    <xf numFmtId="164" fontId="17" fillId="9" borderId="0" xfId="0" applyNumberFormat="1" applyFont="1" applyFill="1" applyAlignment="1" applyProtection="1">
      <alignment horizontal="right" vertical="center" wrapText="1"/>
      <protection locked="0"/>
    </xf>
    <xf numFmtId="164" fontId="17" fillId="9" borderId="57" xfId="0" applyNumberFormat="1" applyFont="1" applyFill="1" applyBorder="1" applyAlignment="1" applyProtection="1">
      <alignment horizontal="right" vertical="center" wrapText="1"/>
      <protection locked="0"/>
    </xf>
    <xf numFmtId="0" fontId="12" fillId="6" borderId="0" xfId="0" applyFont="1" applyFill="1" applyAlignment="1" applyProtection="1">
      <alignment horizontal="center" vertical="center"/>
      <protection locked="0"/>
    </xf>
    <xf numFmtId="0" fontId="50" fillId="6" borderId="0" xfId="0" applyFont="1" applyFill="1" applyAlignment="1" applyProtection="1">
      <alignment vertical="center"/>
      <protection locked="0"/>
    </xf>
    <xf numFmtId="0" fontId="12" fillId="2" borderId="55" xfId="0" applyFont="1" applyFill="1" applyBorder="1" applyAlignment="1">
      <alignment vertical="center"/>
    </xf>
    <xf numFmtId="0" fontId="13" fillId="6" borderId="56" xfId="1" applyFont="1" applyFill="1" applyBorder="1" applyAlignment="1" applyProtection="1">
      <alignment vertical="center"/>
      <protection locked="0"/>
    </xf>
    <xf numFmtId="0" fontId="13" fillId="3" borderId="56" xfId="1" applyFont="1" applyFill="1" applyBorder="1" applyAlignment="1" applyProtection="1">
      <alignment vertical="center"/>
      <protection locked="0"/>
    </xf>
    <xf numFmtId="0" fontId="12" fillId="3" borderId="57" xfId="0" applyFont="1" applyFill="1" applyBorder="1" applyAlignment="1">
      <alignment vertical="center"/>
    </xf>
    <xf numFmtId="0" fontId="12" fillId="6" borderId="56" xfId="0" applyFont="1" applyFill="1" applyBorder="1" applyAlignment="1">
      <alignment vertical="center"/>
    </xf>
    <xf numFmtId="0" fontId="12" fillId="9" borderId="57" xfId="0" applyFont="1" applyFill="1" applyBorder="1" applyAlignment="1">
      <alignment vertical="center"/>
    </xf>
    <xf numFmtId="0" fontId="13" fillId="2" borderId="30" xfId="1" applyFont="1" applyFill="1" applyBorder="1" applyAlignment="1">
      <alignment vertical="center"/>
    </xf>
    <xf numFmtId="164" fontId="13" fillId="2" borderId="66" xfId="1" applyNumberFormat="1" applyFont="1" applyFill="1" applyBorder="1" applyAlignment="1">
      <alignment vertical="center"/>
    </xf>
    <xf numFmtId="164" fontId="13" fillId="2" borderId="72" xfId="1" applyNumberFormat="1" applyFont="1" applyFill="1" applyBorder="1" applyAlignment="1">
      <alignment vertical="center"/>
    </xf>
    <xf numFmtId="164" fontId="13" fillId="2" borderId="70" xfId="1" applyNumberFormat="1" applyFont="1" applyFill="1" applyBorder="1" applyAlignment="1">
      <alignment vertical="center"/>
    </xf>
    <xf numFmtId="164" fontId="13" fillId="2" borderId="30" xfId="1" applyNumberFormat="1" applyFont="1" applyFill="1" applyBorder="1" applyAlignment="1">
      <alignment vertical="center"/>
    </xf>
    <xf numFmtId="0" fontId="13" fillId="2" borderId="30" xfId="0" applyFont="1" applyFill="1" applyBorder="1" applyAlignment="1">
      <alignment vertical="center"/>
    </xf>
    <xf numFmtId="0" fontId="12" fillId="6" borderId="0" xfId="1" applyFill="1" applyAlignment="1">
      <alignment vertical="center"/>
    </xf>
    <xf numFmtId="0" fontId="13" fillId="6" borderId="0" xfId="1" applyFont="1" applyFill="1" applyAlignment="1">
      <alignment vertical="center"/>
    </xf>
    <xf numFmtId="0" fontId="11" fillId="6" borderId="0" xfId="1" applyFont="1" applyFill="1" applyAlignment="1">
      <alignment vertical="center"/>
    </xf>
    <xf numFmtId="164" fontId="14" fillId="6" borderId="28" xfId="0" applyNumberFormat="1" applyFont="1" applyFill="1" applyBorder="1" applyAlignment="1">
      <alignment vertical="center"/>
    </xf>
    <xf numFmtId="164" fontId="14" fillId="6" borderId="27" xfId="0" applyNumberFormat="1" applyFont="1" applyFill="1" applyBorder="1" applyAlignment="1">
      <alignment vertical="center"/>
    </xf>
    <xf numFmtId="0" fontId="12" fillId="6" borderId="28" xfId="0" applyFont="1" applyFill="1" applyBorder="1" applyAlignment="1">
      <alignment vertical="center"/>
    </xf>
    <xf numFmtId="0" fontId="12" fillId="6" borderId="27" xfId="0" applyFont="1" applyFill="1" applyBorder="1" applyAlignment="1">
      <alignment vertical="center"/>
    </xf>
    <xf numFmtId="166" fontId="12" fillId="10" borderId="0" xfId="138" applyNumberFormat="1" applyFont="1" applyFill="1" applyBorder="1" applyAlignment="1">
      <alignment horizontal="center"/>
    </xf>
    <xf numFmtId="165" fontId="12" fillId="9" borderId="8" xfId="83" applyNumberFormat="1" applyFont="1" applyFill="1" applyBorder="1" applyAlignment="1">
      <alignment horizontal="center"/>
    </xf>
    <xf numFmtId="165" fontId="0" fillId="9" borderId="0" xfId="83" applyNumberFormat="1" applyFont="1" applyFill="1" applyBorder="1" applyAlignment="1">
      <alignment horizontal="right"/>
    </xf>
    <xf numFmtId="0" fontId="18" fillId="0" borderId="0" xfId="0" applyFont="1" applyAlignment="1">
      <alignment vertical="center" wrapText="1"/>
    </xf>
    <xf numFmtId="0" fontId="18" fillId="0" borderId="8" xfId="0" applyFont="1" applyBorder="1" applyAlignment="1">
      <alignment vertical="center" wrapText="1"/>
    </xf>
    <xf numFmtId="0" fontId="14" fillId="6" borderId="0" xfId="1" applyFont="1" applyFill="1" applyAlignment="1" applyProtection="1">
      <alignment vertical="center" wrapText="1"/>
      <protection locked="0"/>
    </xf>
    <xf numFmtId="0" fontId="12" fillId="6" borderId="0" xfId="0" applyFont="1" applyFill="1"/>
    <xf numFmtId="166" fontId="0" fillId="9" borderId="0" xfId="138" applyNumberFormat="1" applyFont="1" applyFill="1" applyBorder="1"/>
    <xf numFmtId="9" fontId="0" fillId="10" borderId="0" xfId="83" applyFont="1" applyFill="1" applyBorder="1" applyAlignment="1">
      <alignment horizontal="right"/>
    </xf>
    <xf numFmtId="9" fontId="11" fillId="10" borderId="0" xfId="83" applyFont="1" applyFill="1" applyBorder="1" applyAlignment="1">
      <alignment horizontal="right"/>
    </xf>
    <xf numFmtId="168" fontId="0" fillId="6" borderId="0" xfId="0" applyNumberFormat="1" applyFill="1"/>
    <xf numFmtId="0" fontId="11" fillId="2" borderId="0" xfId="1" applyFont="1" applyFill="1" applyAlignment="1">
      <alignment horizontal="center" vertical="center"/>
    </xf>
    <xf numFmtId="9" fontId="11" fillId="2" borderId="0" xfId="6" applyFont="1" applyFill="1" applyBorder="1" applyAlignment="1">
      <alignment horizontal="center" vertical="center"/>
    </xf>
    <xf numFmtId="0" fontId="53" fillId="2" borderId="0" xfId="0" applyFont="1" applyFill="1" applyAlignment="1" applyProtection="1">
      <alignment horizontal="center" vertical="center" wrapText="1"/>
      <protection locked="0"/>
    </xf>
    <xf numFmtId="0" fontId="53" fillId="2" borderId="0" xfId="0" applyFont="1" applyFill="1" applyAlignment="1">
      <alignment horizontal="center" vertical="center" wrapText="1"/>
    </xf>
    <xf numFmtId="165" fontId="0" fillId="9" borderId="0" xfId="83" applyNumberFormat="1" applyFont="1" applyFill="1" applyBorder="1" applyAlignment="1">
      <alignment horizontal="center"/>
    </xf>
    <xf numFmtId="0" fontId="11" fillId="10" borderId="59" xfId="1" applyFont="1" applyFill="1" applyBorder="1" applyAlignment="1">
      <alignment horizontal="center" vertical="center"/>
    </xf>
    <xf numFmtId="9" fontId="11" fillId="10" borderId="59" xfId="83" applyFont="1" applyFill="1" applyBorder="1" applyAlignment="1">
      <alignment horizontal="center" vertical="center"/>
    </xf>
    <xf numFmtId="0" fontId="53" fillId="10" borderId="59" xfId="0" applyFont="1" applyFill="1" applyBorder="1" applyAlignment="1" applyProtection="1">
      <alignment horizontal="center" vertical="center" wrapText="1"/>
      <protection locked="0"/>
    </xf>
    <xf numFmtId="0" fontId="53" fillId="10" borderId="59" xfId="0" applyFont="1" applyFill="1" applyBorder="1" applyAlignment="1">
      <alignment horizontal="center" vertical="center" wrapText="1"/>
    </xf>
    <xf numFmtId="0" fontId="11" fillId="10" borderId="17" xfId="0" applyFont="1" applyFill="1" applyBorder="1"/>
    <xf numFmtId="0" fontId="11" fillId="10" borderId="10" xfId="0" applyFont="1" applyFill="1" applyBorder="1"/>
    <xf numFmtId="166" fontId="12" fillId="10" borderId="8" xfId="138" applyNumberFormat="1" applyFont="1" applyFill="1" applyBorder="1" applyAlignment="1">
      <alignment horizontal="center"/>
    </xf>
    <xf numFmtId="166" fontId="12" fillId="10" borderId="8" xfId="8" applyNumberFormat="1" applyFont="1" applyFill="1" applyBorder="1" applyAlignment="1">
      <alignment horizontal="center"/>
    </xf>
    <xf numFmtId="9" fontId="0" fillId="10" borderId="8" xfId="83" applyFont="1" applyFill="1" applyBorder="1" applyAlignment="1">
      <alignment horizontal="right"/>
    </xf>
    <xf numFmtId="166" fontId="11" fillId="10" borderId="8" xfId="8" applyNumberFormat="1" applyFont="1" applyFill="1" applyBorder="1"/>
    <xf numFmtId="9" fontId="11" fillId="10" borderId="8" xfId="83" applyFont="1" applyFill="1" applyBorder="1" applyAlignment="1">
      <alignment horizontal="right"/>
    </xf>
    <xf numFmtId="0" fontId="11" fillId="6" borderId="10" xfId="0" applyFont="1" applyFill="1" applyBorder="1"/>
    <xf numFmtId="0" fontId="0" fillId="6" borderId="58" xfId="0" applyFill="1" applyBorder="1"/>
    <xf numFmtId="0" fontId="0" fillId="6" borderId="11" xfId="0" applyFill="1" applyBorder="1"/>
    <xf numFmtId="0" fontId="11" fillId="3" borderId="10" xfId="0" applyFont="1" applyFill="1" applyBorder="1"/>
    <xf numFmtId="165" fontId="0" fillId="3" borderId="8" xfId="0" applyNumberFormat="1" applyFill="1" applyBorder="1" applyAlignment="1">
      <alignment horizontal="right"/>
    </xf>
    <xf numFmtId="9" fontId="11" fillId="2" borderId="9" xfId="83" applyFont="1" applyFill="1" applyBorder="1"/>
    <xf numFmtId="9" fontId="0" fillId="3" borderId="0" xfId="83" applyFont="1" applyFill="1" applyBorder="1" applyAlignment="1">
      <alignment horizontal="right"/>
    </xf>
    <xf numFmtId="167" fontId="0" fillId="3" borderId="0" xfId="83" applyNumberFormat="1" applyFont="1" applyFill="1" applyBorder="1" applyAlignment="1">
      <alignment horizontal="right"/>
    </xf>
    <xf numFmtId="9" fontId="0" fillId="3" borderId="0" xfId="6" applyFont="1" applyFill="1" applyBorder="1" applyAlignment="1">
      <alignment horizontal="right"/>
    </xf>
    <xf numFmtId="167" fontId="0" fillId="3" borderId="0" xfId="6" applyNumberFormat="1" applyFont="1" applyFill="1" applyBorder="1" applyAlignment="1">
      <alignment horizontal="right"/>
    </xf>
    <xf numFmtId="9" fontId="0" fillId="3" borderId="11" xfId="6" applyFont="1" applyFill="1" applyBorder="1" applyAlignment="1">
      <alignment horizontal="right"/>
    </xf>
    <xf numFmtId="167" fontId="0" fillId="3" borderId="8" xfId="6" applyNumberFormat="1" applyFont="1" applyFill="1" applyBorder="1" applyAlignment="1">
      <alignment horizontal="right"/>
    </xf>
    <xf numFmtId="0" fontId="11" fillId="3" borderId="17" xfId="0" applyFont="1" applyFill="1" applyBorder="1"/>
    <xf numFmtId="165" fontId="11" fillId="3" borderId="0" xfId="1" applyNumberFormat="1" applyFont="1" applyFill="1" applyAlignment="1">
      <alignment horizontal="center" vertical="center"/>
    </xf>
    <xf numFmtId="165" fontId="53" fillId="3" borderId="0" xfId="0" applyNumberFormat="1" applyFont="1" applyFill="1" applyAlignment="1">
      <alignment horizontal="center" vertical="center" wrapText="1"/>
    </xf>
    <xf numFmtId="166" fontId="12" fillId="9" borderId="0" xfId="138" applyNumberFormat="1" applyFont="1" applyFill="1" applyBorder="1" applyAlignment="1">
      <alignment horizontal="center"/>
    </xf>
    <xf numFmtId="0" fontId="11" fillId="2" borderId="8" xfId="0" applyFont="1" applyFill="1" applyBorder="1"/>
    <xf numFmtId="0" fontId="12" fillId="6" borderId="59" xfId="0" applyFont="1" applyFill="1" applyBorder="1"/>
    <xf numFmtId="9" fontId="0" fillId="6" borderId="58" xfId="83" applyFont="1" applyFill="1" applyBorder="1"/>
    <xf numFmtId="166" fontId="0" fillId="9" borderId="61" xfId="138" applyNumberFormat="1" applyFont="1" applyFill="1" applyBorder="1"/>
    <xf numFmtId="9" fontId="0" fillId="3" borderId="61" xfId="83" applyFont="1" applyFill="1" applyBorder="1" applyAlignment="1">
      <alignment horizontal="right"/>
    </xf>
    <xf numFmtId="166" fontId="12" fillId="9" borderId="65" xfId="138" applyNumberFormat="1" applyFont="1" applyFill="1" applyBorder="1" applyAlignment="1">
      <alignment horizontal="center"/>
    </xf>
    <xf numFmtId="166" fontId="12" fillId="9" borderId="65" xfId="138" applyNumberFormat="1" applyFont="1" applyFill="1" applyBorder="1" applyAlignment="1">
      <alignment horizontal="center" vertical="center"/>
    </xf>
    <xf numFmtId="9" fontId="0" fillId="3" borderId="65" xfId="83" applyFont="1" applyFill="1" applyBorder="1" applyAlignment="1">
      <alignment horizontal="right"/>
    </xf>
    <xf numFmtId="166" fontId="0" fillId="9" borderId="65" xfId="138" applyNumberFormat="1" applyFont="1" applyFill="1" applyBorder="1"/>
    <xf numFmtId="166" fontId="0" fillId="9" borderId="5" xfId="138" applyNumberFormat="1" applyFont="1" applyFill="1" applyBorder="1"/>
    <xf numFmtId="9" fontId="0" fillId="3" borderId="5" xfId="83" applyFont="1" applyFill="1" applyBorder="1" applyAlignment="1">
      <alignment horizontal="right"/>
    </xf>
    <xf numFmtId="165" fontId="0" fillId="9" borderId="65" xfId="6" applyNumberFormat="1" applyFont="1" applyFill="1" applyBorder="1" applyAlignment="1">
      <alignment horizontal="right"/>
    </xf>
    <xf numFmtId="167" fontId="0" fillId="3" borderId="65" xfId="6" applyNumberFormat="1" applyFont="1" applyFill="1" applyBorder="1" applyAlignment="1">
      <alignment horizontal="right"/>
    </xf>
    <xf numFmtId="0" fontId="26" fillId="6" borderId="62" xfId="0" applyFont="1" applyFill="1" applyBorder="1" applyAlignment="1">
      <alignment vertical="center"/>
    </xf>
    <xf numFmtId="0" fontId="26" fillId="6" borderId="61" xfId="0" applyFont="1" applyFill="1" applyBorder="1" applyAlignment="1">
      <alignment vertical="center"/>
    </xf>
    <xf numFmtId="0" fontId="12" fillId="6" borderId="61" xfId="0" applyFont="1" applyFill="1" applyBorder="1"/>
    <xf numFmtId="0" fontId="0" fillId="6" borderId="61" xfId="0" applyFill="1" applyBorder="1"/>
    <xf numFmtId="0" fontId="0" fillId="6" borderId="63" xfId="0" applyFill="1" applyBorder="1"/>
    <xf numFmtId="0" fontId="0" fillId="6" borderId="64" xfId="0" applyFill="1" applyBorder="1"/>
    <xf numFmtId="0" fontId="0" fillId="6" borderId="56" xfId="0" applyFill="1" applyBorder="1"/>
    <xf numFmtId="0" fontId="12" fillId="6" borderId="64" xfId="0" applyFont="1" applyFill="1" applyBorder="1"/>
    <xf numFmtId="0" fontId="0" fillId="6" borderId="28" xfId="0" applyFill="1" applyBorder="1"/>
    <xf numFmtId="0" fontId="0" fillId="6" borderId="27" xfId="0" applyFill="1" applyBorder="1"/>
    <xf numFmtId="0" fontId="11" fillId="10" borderId="68" xfId="0" applyFont="1" applyFill="1" applyBorder="1"/>
    <xf numFmtId="0" fontId="0" fillId="10" borderId="72" xfId="0" applyFill="1" applyBorder="1"/>
    <xf numFmtId="0" fontId="11" fillId="2" borderId="72" xfId="1" applyFont="1" applyFill="1" applyBorder="1" applyAlignment="1">
      <alignment horizontal="center" vertical="center"/>
    </xf>
    <xf numFmtId="9" fontId="11" fillId="2" borderId="72" xfId="83" applyFont="1" applyFill="1" applyBorder="1" applyAlignment="1">
      <alignment horizontal="center" vertical="center"/>
    </xf>
    <xf numFmtId="0" fontId="53" fillId="2" borderId="72" xfId="0" applyFont="1" applyFill="1" applyBorder="1" applyAlignment="1" applyProtection="1">
      <alignment horizontal="center" vertical="center" wrapText="1"/>
      <protection locked="0"/>
    </xf>
    <xf numFmtId="0" fontId="53" fillId="2" borderId="72" xfId="0" applyFont="1" applyFill="1" applyBorder="1" applyAlignment="1">
      <alignment horizontal="center" vertical="center" wrapText="1"/>
    </xf>
    <xf numFmtId="0" fontId="12" fillId="6" borderId="68" xfId="0" applyFont="1" applyFill="1" applyBorder="1"/>
    <xf numFmtId="0" fontId="14" fillId="6" borderId="55" xfId="1" applyFont="1" applyFill="1" applyBorder="1" applyAlignment="1" applyProtection="1">
      <alignment vertical="center"/>
      <protection locked="0"/>
    </xf>
    <xf numFmtId="0" fontId="14" fillId="6" borderId="3" xfId="1" applyFont="1" applyFill="1" applyBorder="1" applyAlignment="1" applyProtection="1">
      <alignment vertical="center"/>
      <protection locked="0"/>
    </xf>
    <xf numFmtId="0" fontId="14" fillId="6" borderId="5" xfId="1" applyFont="1" applyFill="1" applyBorder="1" applyAlignment="1" applyProtection="1">
      <alignment vertical="center"/>
      <protection locked="0"/>
    </xf>
    <xf numFmtId="0" fontId="11" fillId="0" borderId="0" xfId="0" applyFont="1"/>
    <xf numFmtId="0" fontId="14" fillId="0" borderId="5" xfId="0" applyFont="1" applyBorder="1"/>
    <xf numFmtId="0" fontId="13" fillId="6" borderId="5" xfId="0" applyFont="1" applyFill="1" applyBorder="1" applyAlignment="1">
      <alignment vertical="center" wrapText="1"/>
    </xf>
    <xf numFmtId="0" fontId="13" fillId="6" borderId="0" xfId="0" applyFont="1" applyFill="1" applyAlignment="1">
      <alignment vertical="center" wrapText="1"/>
    </xf>
    <xf numFmtId="0" fontId="13" fillId="6" borderId="0" xfId="1" applyFont="1" applyFill="1" applyAlignment="1" applyProtection="1">
      <alignment horizontal="center" vertical="center" wrapText="1"/>
      <protection locked="0"/>
    </xf>
    <xf numFmtId="164" fontId="14" fillId="6" borderId="0" xfId="0" applyNumberFormat="1" applyFont="1" applyFill="1" applyAlignment="1">
      <alignment vertical="center"/>
    </xf>
    <xf numFmtId="164" fontId="17" fillId="10" borderId="64" xfId="0" applyNumberFormat="1" applyFont="1" applyFill="1" applyBorder="1" applyAlignment="1" applyProtection="1">
      <alignment horizontal="right" vertical="center" wrapText="1"/>
      <protection locked="0"/>
    </xf>
    <xf numFmtId="0" fontId="26" fillId="6" borderId="0" xfId="0" applyFont="1" applyFill="1" applyAlignment="1">
      <alignment vertical="center" wrapText="1"/>
    </xf>
    <xf numFmtId="0" fontId="13" fillId="6" borderId="59" xfId="1" applyFont="1" applyFill="1" applyBorder="1" applyAlignment="1" applyProtection="1">
      <alignment horizontal="left" vertical="center" wrapText="1"/>
      <protection locked="0"/>
    </xf>
    <xf numFmtId="0" fontId="13" fillId="6" borderId="8" xfId="1" applyFont="1" applyFill="1" applyBorder="1" applyAlignment="1" applyProtection="1">
      <alignment horizontal="left" vertical="center" wrapText="1"/>
      <protection locked="0"/>
    </xf>
    <xf numFmtId="0" fontId="13" fillId="6" borderId="0" xfId="1" applyFont="1" applyFill="1" applyAlignment="1" applyProtection="1">
      <alignment horizontal="left" vertical="center" wrapText="1"/>
      <protection locked="0"/>
    </xf>
    <xf numFmtId="0" fontId="13" fillId="6" borderId="0" xfId="1" applyFont="1" applyFill="1" applyAlignment="1" applyProtection="1">
      <alignment vertical="center" wrapText="1"/>
      <protection locked="0"/>
    </xf>
    <xf numFmtId="0" fontId="13" fillId="3" borderId="0" xfId="1" applyFont="1" applyFill="1" applyAlignment="1" applyProtection="1">
      <alignment vertical="center" wrapText="1"/>
      <protection locked="0"/>
    </xf>
    <xf numFmtId="0" fontId="14" fillId="6" borderId="0" xfId="1" applyFont="1" applyFill="1" applyAlignment="1" applyProtection="1">
      <alignment horizontal="left" vertical="center" wrapText="1"/>
      <protection locked="0"/>
    </xf>
    <xf numFmtId="0" fontId="14" fillId="3" borderId="0" xfId="1" applyFont="1" applyFill="1" applyAlignment="1" applyProtection="1">
      <alignment vertical="center" wrapText="1"/>
      <protection locked="0"/>
    </xf>
    <xf numFmtId="0" fontId="13" fillId="2" borderId="72" xfId="1" applyFont="1" applyFill="1" applyBorder="1" applyAlignment="1">
      <alignment vertical="center" wrapText="1"/>
    </xf>
    <xf numFmtId="0" fontId="12" fillId="6" borderId="0" xfId="1" applyFill="1" applyAlignment="1">
      <alignment vertical="center" wrapText="1"/>
    </xf>
    <xf numFmtId="0" fontId="12" fillId="6" borderId="0" xfId="0" applyFont="1" applyFill="1" applyAlignment="1">
      <alignment vertical="center" wrapText="1"/>
    </xf>
    <xf numFmtId="0" fontId="13" fillId="6" borderId="0" xfId="1" applyFont="1" applyFill="1" applyAlignment="1">
      <alignment horizontal="center" vertical="center" wrapText="1"/>
    </xf>
    <xf numFmtId="164" fontId="13" fillId="3" borderId="6" xfId="1" applyNumberFormat="1" applyFont="1" applyFill="1" applyBorder="1" applyAlignment="1" applyProtection="1">
      <alignment horizontal="center" vertical="center"/>
      <protection locked="0"/>
    </xf>
    <xf numFmtId="164" fontId="13" fillId="6" borderId="0" xfId="1" applyNumberFormat="1" applyFont="1" applyFill="1" applyAlignment="1" applyProtection="1">
      <alignment horizontal="right" vertical="center"/>
      <protection locked="0"/>
    </xf>
    <xf numFmtId="9" fontId="11" fillId="10" borderId="71" xfId="6" applyFont="1" applyFill="1" applyBorder="1" applyAlignment="1">
      <alignment horizontal="center" vertical="center"/>
    </xf>
    <xf numFmtId="9" fontId="0" fillId="3" borderId="38" xfId="6" applyFont="1" applyFill="1" applyBorder="1" applyAlignment="1">
      <alignment horizontal="right"/>
    </xf>
    <xf numFmtId="9" fontId="0" fillId="3" borderId="69" xfId="6" applyFont="1" applyFill="1" applyBorder="1" applyAlignment="1">
      <alignment horizontal="right"/>
    </xf>
    <xf numFmtId="9" fontId="0" fillId="3" borderId="26" xfId="6" applyFont="1" applyFill="1" applyBorder="1" applyAlignment="1">
      <alignment horizontal="right"/>
    </xf>
    <xf numFmtId="9" fontId="0" fillId="10" borderId="69" xfId="6" applyFont="1" applyFill="1" applyBorder="1" applyAlignment="1">
      <alignment horizontal="right"/>
    </xf>
    <xf numFmtId="9" fontId="0" fillId="10" borderId="9" xfId="6" applyFont="1" applyFill="1" applyBorder="1" applyAlignment="1">
      <alignment horizontal="right"/>
    </xf>
    <xf numFmtId="0" fontId="0" fillId="10" borderId="58" xfId="0" applyFill="1" applyBorder="1"/>
    <xf numFmtId="9" fontId="11" fillId="2" borderId="58" xfId="6" applyFont="1" applyFill="1" applyBorder="1" applyAlignment="1">
      <alignment horizontal="center" vertical="center"/>
    </xf>
    <xf numFmtId="9" fontId="0" fillId="3" borderId="9" xfId="6" applyFont="1" applyFill="1" applyBorder="1" applyAlignment="1">
      <alignment horizontal="right"/>
    </xf>
    <xf numFmtId="0" fontId="0" fillId="6" borderId="9" xfId="0" applyFill="1" applyBorder="1"/>
    <xf numFmtId="9" fontId="11" fillId="10" borderId="18" xfId="6" applyFont="1" applyFill="1" applyBorder="1" applyAlignment="1">
      <alignment horizontal="center" vertical="center"/>
    </xf>
    <xf numFmtId="9" fontId="0" fillId="3" borderId="23" xfId="6" applyFont="1" applyFill="1" applyBorder="1" applyAlignment="1">
      <alignment horizontal="right"/>
    </xf>
    <xf numFmtId="165" fontId="0" fillId="3" borderId="17" xfId="6" applyNumberFormat="1" applyFont="1" applyFill="1" applyBorder="1" applyAlignment="1">
      <alignment horizontal="right"/>
    </xf>
    <xf numFmtId="9" fontId="0" fillId="3" borderId="24" xfId="6" applyFont="1" applyFill="1" applyBorder="1" applyAlignment="1">
      <alignment horizontal="right"/>
    </xf>
    <xf numFmtId="9" fontId="0" fillId="3" borderId="17" xfId="6" applyFont="1" applyFill="1" applyBorder="1" applyAlignment="1">
      <alignment horizontal="right"/>
    </xf>
    <xf numFmtId="167" fontId="0" fillId="3" borderId="21" xfId="6" applyNumberFormat="1" applyFont="1" applyFill="1" applyBorder="1" applyAlignment="1">
      <alignment horizontal="right"/>
    </xf>
    <xf numFmtId="9" fontId="0" fillId="3" borderId="21" xfId="6" applyFont="1" applyFill="1" applyBorder="1" applyAlignment="1">
      <alignment horizontal="right"/>
    </xf>
    <xf numFmtId="9" fontId="11" fillId="10" borderId="17" xfId="6" applyFont="1" applyFill="1" applyBorder="1" applyAlignment="1">
      <alignment horizontal="right"/>
    </xf>
    <xf numFmtId="9" fontId="11" fillId="10" borderId="10" xfId="6" applyFont="1" applyFill="1" applyBorder="1" applyAlignment="1">
      <alignment horizontal="right"/>
    </xf>
    <xf numFmtId="0" fontId="0" fillId="10" borderId="59" xfId="0" applyFill="1" applyBorder="1"/>
    <xf numFmtId="9" fontId="11" fillId="2" borderId="18" xfId="6" applyFont="1" applyFill="1" applyBorder="1" applyAlignment="1">
      <alignment horizontal="center" vertical="center"/>
    </xf>
    <xf numFmtId="167" fontId="0" fillId="3" borderId="17" xfId="6" applyNumberFormat="1" applyFont="1" applyFill="1" applyBorder="1" applyAlignment="1">
      <alignment horizontal="right"/>
    </xf>
    <xf numFmtId="167" fontId="0" fillId="3" borderId="10" xfId="6" applyNumberFormat="1" applyFont="1" applyFill="1" applyBorder="1" applyAlignment="1">
      <alignment horizontal="right"/>
    </xf>
    <xf numFmtId="9" fontId="11" fillId="2" borderId="68" xfId="6" applyFont="1" applyFill="1" applyBorder="1" applyAlignment="1">
      <alignment horizontal="center" vertical="center"/>
    </xf>
    <xf numFmtId="0" fontId="24" fillId="0" borderId="57" xfId="1" applyFont="1" applyBorder="1" applyAlignment="1">
      <alignment horizontal="left" vertical="top" wrapText="1"/>
    </xf>
    <xf numFmtId="0" fontId="13" fillId="0" borderId="57" xfId="1" applyFont="1" applyBorder="1" applyAlignment="1">
      <alignment horizontal="left" vertical="top" wrapText="1"/>
    </xf>
    <xf numFmtId="0" fontId="41" fillId="0" borderId="1" xfId="1" applyFont="1" applyBorder="1" applyAlignment="1">
      <alignment horizontal="left" vertical="center" wrapText="1"/>
    </xf>
    <xf numFmtId="0" fontId="13" fillId="6" borderId="0" xfId="1" applyFont="1" applyFill="1" applyAlignment="1">
      <alignment vertical="center" wrapText="1"/>
    </xf>
    <xf numFmtId="0" fontId="14" fillId="6" borderId="27" xfId="1" applyFont="1" applyFill="1" applyBorder="1" applyAlignment="1">
      <alignment vertical="center" wrapText="1"/>
    </xf>
    <xf numFmtId="0" fontId="41" fillId="0" borderId="55" xfId="1" applyFont="1" applyBorder="1" applyAlignment="1">
      <alignment horizontal="left" vertical="top" wrapText="1"/>
    </xf>
    <xf numFmtId="0" fontId="69" fillId="0" borderId="1" xfId="1" applyFont="1" applyBorder="1" applyAlignment="1">
      <alignment horizontal="left" vertical="top" wrapText="1"/>
    </xf>
    <xf numFmtId="0" fontId="41" fillId="0" borderId="57" xfId="1" applyFont="1" applyBorder="1" applyAlignment="1">
      <alignment horizontal="left" vertical="top" wrapText="1"/>
    </xf>
    <xf numFmtId="0" fontId="41" fillId="0" borderId="2" xfId="1" applyFont="1" applyBorder="1" applyAlignment="1">
      <alignment horizontal="left" vertical="top" wrapText="1"/>
    </xf>
    <xf numFmtId="0" fontId="17" fillId="0" borderId="55" xfId="0" applyFont="1" applyBorder="1" applyAlignment="1">
      <alignment vertical="center" wrapText="1"/>
    </xf>
    <xf numFmtId="0" fontId="17" fillId="0" borderId="4" xfId="0" applyFont="1" applyBorder="1" applyAlignment="1">
      <alignment vertical="center" wrapText="1"/>
    </xf>
    <xf numFmtId="0" fontId="72" fillId="0" borderId="1" xfId="0" applyFont="1" applyBorder="1"/>
    <xf numFmtId="0" fontId="72" fillId="0" borderId="0" xfId="0" applyFont="1"/>
    <xf numFmtId="0" fontId="13" fillId="0" borderId="2" xfId="0" applyFont="1" applyBorder="1"/>
    <xf numFmtId="0" fontId="14" fillId="0" borderId="55" xfId="0" applyFont="1" applyBorder="1"/>
    <xf numFmtId="165" fontId="14" fillId="0" borderId="55" xfId="83" applyNumberFormat="1" applyFont="1" applyBorder="1"/>
    <xf numFmtId="0" fontId="74" fillId="0" borderId="0" xfId="0" applyFont="1"/>
    <xf numFmtId="0" fontId="73" fillId="0" borderId="1" xfId="0" applyFont="1" applyBorder="1" applyAlignment="1">
      <alignment horizontal="center"/>
    </xf>
    <xf numFmtId="0" fontId="73" fillId="0" borderId="2" xfId="0" applyFont="1" applyBorder="1" applyAlignment="1">
      <alignment horizontal="center"/>
    </xf>
    <xf numFmtId="0" fontId="73" fillId="0" borderId="0" xfId="0" applyFont="1"/>
    <xf numFmtId="0" fontId="12" fillId="0" borderId="55" xfId="0" applyFont="1" applyBorder="1" applyAlignment="1">
      <alignment wrapText="1"/>
    </xf>
    <xf numFmtId="0" fontId="14" fillId="6" borderId="1" xfId="1" applyFont="1" applyFill="1" applyBorder="1" applyAlignment="1">
      <alignment vertical="center" wrapText="1"/>
    </xf>
    <xf numFmtId="0" fontId="15" fillId="0" borderId="0" xfId="0" applyFont="1" applyAlignment="1">
      <alignment horizontal="left" vertical="center"/>
    </xf>
    <xf numFmtId="0" fontId="26" fillId="0" borderId="0" xfId="1" applyFont="1" applyAlignment="1">
      <alignment horizontal="left" vertical="center"/>
    </xf>
    <xf numFmtId="0" fontId="28" fillId="0" borderId="0" xfId="12" applyFont="1" applyAlignment="1">
      <alignment horizontal="left"/>
    </xf>
    <xf numFmtId="0" fontId="26" fillId="6" borderId="0" xfId="0" applyFont="1" applyFill="1" applyAlignment="1">
      <alignment horizontal="left" vertical="center"/>
    </xf>
    <xf numFmtId="0" fontId="13" fillId="6" borderId="0" xfId="1" applyFont="1" applyFill="1" applyAlignment="1">
      <alignment horizontal="left" vertical="center" wrapText="1"/>
    </xf>
    <xf numFmtId="0" fontId="30" fillId="5" borderId="15" xfId="0" applyFont="1" applyFill="1" applyBorder="1" applyAlignment="1">
      <alignment horizontal="center" vertical="center" wrapText="1"/>
    </xf>
    <xf numFmtId="0" fontId="11" fillId="2" borderId="55" xfId="0" applyFont="1" applyFill="1" applyBorder="1" applyAlignment="1">
      <alignment horizontal="center" vertical="center"/>
    </xf>
    <xf numFmtId="0" fontId="12" fillId="6" borderId="32" xfId="0" applyFont="1" applyFill="1" applyBorder="1" applyAlignment="1">
      <alignment horizontal="left" vertical="center" wrapText="1"/>
    </xf>
    <xf numFmtId="0" fontId="12" fillId="6" borderId="0" xfId="0" applyFont="1" applyFill="1" applyAlignment="1">
      <alignment horizontal="left" vertical="center" wrapText="1"/>
    </xf>
    <xf numFmtId="166" fontId="12" fillId="0" borderId="55" xfId="138" applyNumberFormat="1" applyFont="1" applyBorder="1" applyProtection="1">
      <protection locked="0"/>
    </xf>
    <xf numFmtId="0" fontId="12" fillId="9" borderId="57" xfId="0" applyFont="1" applyFill="1" applyBorder="1" applyAlignment="1">
      <alignment vertical="center" wrapText="1"/>
    </xf>
    <xf numFmtId="0" fontId="32" fillId="6" borderId="0" xfId="0" applyFont="1" applyFill="1" applyAlignment="1" applyProtection="1">
      <alignment horizontal="center" vertical="center" wrapText="1"/>
      <protection locked="0"/>
    </xf>
    <xf numFmtId="0" fontId="12" fillId="6" borderId="56" xfId="0" applyFont="1" applyFill="1" applyBorder="1" applyAlignment="1">
      <alignment vertical="center" wrapText="1"/>
    </xf>
    <xf numFmtId="164" fontId="13" fillId="2" borderId="57" xfId="1" applyNumberFormat="1" applyFont="1" applyFill="1" applyBorder="1" applyAlignment="1" applyProtection="1">
      <alignment vertical="center" wrapText="1"/>
      <protection locked="0"/>
    </xf>
    <xf numFmtId="164" fontId="0" fillId="0" borderId="0" xfId="0" applyNumberFormat="1"/>
    <xf numFmtId="165" fontId="0" fillId="0" borderId="0" xfId="83" applyNumberFormat="1" applyFont="1" applyFill="1"/>
    <xf numFmtId="169" fontId="17" fillId="0" borderId="1" xfId="0" applyNumberFormat="1" applyFont="1" applyBorder="1" applyAlignment="1">
      <alignment horizontal="right" wrapText="1"/>
    </xf>
    <xf numFmtId="169" fontId="17" fillId="0" borderId="57" xfId="0" applyNumberFormat="1" applyFont="1" applyBorder="1" applyAlignment="1">
      <alignment horizontal="right" wrapText="1"/>
    </xf>
    <xf numFmtId="169" fontId="17" fillId="0" borderId="2" xfId="0" applyNumberFormat="1" applyFont="1" applyBorder="1" applyAlignment="1">
      <alignment horizontal="right" wrapText="1"/>
    </xf>
    <xf numFmtId="169" fontId="17" fillId="2" borderId="55" xfId="0" applyNumberFormat="1" applyFont="1" applyFill="1" applyBorder="1" applyAlignment="1">
      <alignment horizontal="right" wrapText="1"/>
    </xf>
    <xf numFmtId="164" fontId="17" fillId="9" borderId="64" xfId="0" applyNumberFormat="1" applyFont="1" applyFill="1" applyBorder="1" applyAlignment="1" applyProtection="1">
      <alignment horizontal="right" vertical="center" wrapText="1"/>
      <protection locked="0"/>
    </xf>
    <xf numFmtId="0" fontId="17" fillId="0" borderId="47" xfId="0" applyFont="1" applyBorder="1" applyAlignment="1">
      <alignment vertical="top" wrapText="1"/>
    </xf>
    <xf numFmtId="0" fontId="14" fillId="0" borderId="55" xfId="0" applyFont="1" applyBorder="1" applyAlignment="1">
      <alignment horizontal="left" vertical="top" wrapText="1"/>
    </xf>
    <xf numFmtId="169" fontId="17" fillId="0" borderId="28" xfId="0" applyNumberFormat="1" applyFont="1" applyBorder="1" applyAlignment="1">
      <alignment horizontal="right" wrapText="1"/>
    </xf>
    <xf numFmtId="169" fontId="17" fillId="0" borderId="62" xfId="0" applyNumberFormat="1" applyFont="1" applyBorder="1" applyAlignment="1">
      <alignment horizontal="right" wrapText="1"/>
    </xf>
    <xf numFmtId="169" fontId="17" fillId="2" borderId="3" xfId="0" applyNumberFormat="1" applyFont="1" applyFill="1" applyBorder="1" applyAlignment="1">
      <alignment horizontal="right" wrapText="1"/>
    </xf>
    <xf numFmtId="169" fontId="17" fillId="0" borderId="56" xfId="0" applyNumberFormat="1" applyFont="1" applyBorder="1" applyAlignment="1">
      <alignment horizontal="right" wrapText="1"/>
    </xf>
    <xf numFmtId="169" fontId="0" fillId="0" borderId="57" xfId="0" applyNumberFormat="1" applyBorder="1"/>
    <xf numFmtId="169" fontId="0" fillId="0" borderId="56" xfId="0" applyNumberFormat="1" applyBorder="1"/>
    <xf numFmtId="169" fontId="0" fillId="0" borderId="2" xfId="0" applyNumberFormat="1" applyBorder="1"/>
    <xf numFmtId="169" fontId="0" fillId="0" borderId="28" xfId="0" applyNumberFormat="1" applyBorder="1"/>
    <xf numFmtId="165" fontId="0" fillId="6" borderId="11" xfId="83" applyNumberFormat="1" applyFont="1" applyFill="1" applyBorder="1"/>
    <xf numFmtId="165" fontId="13" fillId="6" borderId="7" xfId="83" applyNumberFormat="1" applyFont="1" applyFill="1" applyBorder="1" applyAlignment="1" applyProtection="1">
      <alignment horizontal="right" vertical="center"/>
      <protection locked="0"/>
    </xf>
    <xf numFmtId="164" fontId="12" fillId="6" borderId="0" xfId="1" applyNumberFormat="1" applyFill="1" applyAlignment="1">
      <alignment vertical="center"/>
    </xf>
    <xf numFmtId="164" fontId="14" fillId="9" borderId="56" xfId="0" applyNumberFormat="1" applyFont="1" applyFill="1" applyBorder="1" applyAlignment="1" applyProtection="1">
      <alignment horizontal="right" vertical="center" wrapText="1"/>
      <protection locked="0"/>
    </xf>
    <xf numFmtId="164" fontId="14" fillId="9" borderId="0" xfId="0" applyNumberFormat="1" applyFont="1" applyFill="1" applyAlignment="1" applyProtection="1">
      <alignment horizontal="right" vertical="center" wrapText="1"/>
      <protection locked="0"/>
    </xf>
    <xf numFmtId="164" fontId="14" fillId="10" borderId="64" xfId="0" applyNumberFormat="1" applyFont="1" applyFill="1" applyBorder="1" applyAlignment="1" applyProtection="1">
      <alignment horizontal="right" vertical="center" wrapText="1"/>
      <protection locked="0"/>
    </xf>
    <xf numFmtId="164" fontId="14" fillId="9" borderId="57" xfId="0" applyNumberFormat="1" applyFont="1" applyFill="1" applyBorder="1" applyAlignment="1" applyProtection="1">
      <alignment horizontal="right" vertical="center" wrapText="1"/>
      <protection locked="0"/>
    </xf>
    <xf numFmtId="164" fontId="12" fillId="6" borderId="0" xfId="0" applyNumberFormat="1" applyFont="1" applyFill="1" applyAlignment="1">
      <alignment vertical="center"/>
    </xf>
    <xf numFmtId="0" fontId="38" fillId="0" borderId="0" xfId="0" applyFont="1" applyAlignment="1">
      <alignment horizontal="left" vertical="center"/>
    </xf>
    <xf numFmtId="0" fontId="22" fillId="0" borderId="0" xfId="0" applyFont="1" applyAlignment="1">
      <alignment horizontal="left" vertical="center"/>
    </xf>
    <xf numFmtId="0" fontId="15" fillId="0" borderId="0" xfId="0" applyFont="1" applyAlignment="1">
      <alignment horizontal="left" vertical="center"/>
    </xf>
    <xf numFmtId="0" fontId="22" fillId="0" borderId="0" xfId="0" applyFont="1" applyAlignment="1">
      <alignment horizontal="right" vertical="center"/>
    </xf>
    <xf numFmtId="0" fontId="21" fillId="0" borderId="14" xfId="0" applyFont="1" applyBorder="1" applyAlignment="1">
      <alignment horizontal="left" vertical="center"/>
    </xf>
    <xf numFmtId="0" fontId="21" fillId="0" borderId="15" xfId="0" applyFont="1" applyBorder="1" applyAlignment="1">
      <alignment horizontal="left" vertical="center"/>
    </xf>
    <xf numFmtId="0" fontId="21" fillId="0" borderId="13" xfId="0" applyFont="1" applyBorder="1" applyAlignment="1">
      <alignment horizontal="left" vertical="center"/>
    </xf>
    <xf numFmtId="0" fontId="22" fillId="0" borderId="11" xfId="0" applyFont="1" applyBorder="1" applyAlignment="1">
      <alignment horizontal="left" vertical="center"/>
    </xf>
    <xf numFmtId="49" fontId="21" fillId="0" borderId="10" xfId="0" applyNumberFormat="1" applyFont="1" applyBorder="1" applyAlignment="1">
      <alignment horizontal="left" vertical="center"/>
    </xf>
    <xf numFmtId="49" fontId="21" fillId="0" borderId="8" xfId="0" applyNumberFormat="1" applyFont="1" applyBorder="1" applyAlignment="1">
      <alignment horizontal="left" vertical="center"/>
    </xf>
    <xf numFmtId="49" fontId="21" fillId="0" borderId="9" xfId="0" applyNumberFormat="1" applyFont="1" applyBorder="1" applyAlignment="1">
      <alignment horizontal="left" vertical="center"/>
    </xf>
    <xf numFmtId="0" fontId="21" fillId="0" borderId="14" xfId="0" applyFont="1" applyBorder="1" applyAlignment="1">
      <alignment horizontal="left" vertical="center" wrapText="1"/>
    </xf>
    <xf numFmtId="0" fontId="21" fillId="0" borderId="15" xfId="0" applyFont="1" applyBorder="1" applyAlignment="1">
      <alignment horizontal="left" vertical="center" wrapText="1"/>
    </xf>
    <xf numFmtId="0" fontId="21" fillId="0" borderId="13" xfId="0" applyFont="1" applyBorder="1" applyAlignment="1">
      <alignment horizontal="left" vertical="center" wrapText="1"/>
    </xf>
    <xf numFmtId="0" fontId="36" fillId="0" borderId="14" xfId="7" applyBorder="1" applyAlignment="1">
      <alignment horizontal="left" vertical="center"/>
    </xf>
    <xf numFmtId="0" fontId="22" fillId="0" borderId="14" xfId="0" applyFont="1" applyBorder="1" applyAlignment="1">
      <alignment horizontal="left" vertical="center"/>
    </xf>
    <xf numFmtId="0" fontId="22" fillId="0" borderId="15" xfId="0" applyFont="1" applyBorder="1" applyAlignment="1">
      <alignment horizontal="left" vertical="center"/>
    </xf>
    <xf numFmtId="0" fontId="22" fillId="0" borderId="13" xfId="0" applyFont="1" applyBorder="1" applyAlignment="1">
      <alignment horizontal="left" vertical="center"/>
    </xf>
    <xf numFmtId="0" fontId="51" fillId="2" borderId="62" xfId="0" applyFont="1" applyFill="1" applyBorder="1" applyAlignment="1">
      <alignment horizontal="center" wrapText="1"/>
    </xf>
    <xf numFmtId="0" fontId="51" fillId="2" borderId="61" xfId="0" applyFont="1" applyFill="1" applyBorder="1" applyAlignment="1">
      <alignment horizontal="center" wrapText="1"/>
    </xf>
    <xf numFmtId="0" fontId="51" fillId="2" borderId="63" xfId="0" applyFont="1" applyFill="1" applyBorder="1" applyAlignment="1">
      <alignment horizontal="center" wrapText="1"/>
    </xf>
    <xf numFmtId="0" fontId="17" fillId="2" borderId="3" xfId="0" applyFont="1" applyFill="1" applyBorder="1" applyAlignment="1">
      <alignment horizontal="center" wrapText="1"/>
    </xf>
    <xf numFmtId="0" fontId="17" fillId="2" borderId="5" xfId="0" applyFont="1" applyFill="1" applyBorder="1" applyAlignment="1">
      <alignment horizontal="center" wrapText="1"/>
    </xf>
    <xf numFmtId="0" fontId="17" fillId="2" borderId="4" xfId="0" applyFont="1" applyFill="1" applyBorder="1" applyAlignment="1">
      <alignment horizontal="center" wrapText="1"/>
    </xf>
    <xf numFmtId="0" fontId="35" fillId="6" borderId="17" xfId="0" applyFont="1" applyFill="1" applyBorder="1" applyAlignment="1">
      <alignment horizontal="left" vertical="center" wrapText="1"/>
    </xf>
    <xf numFmtId="0" fontId="35" fillId="6" borderId="0" xfId="0" applyFont="1" applyFill="1" applyAlignment="1">
      <alignment horizontal="left" vertical="center" wrapText="1"/>
    </xf>
    <xf numFmtId="0" fontId="26" fillId="0" borderId="0" xfId="1" applyFont="1" applyAlignment="1">
      <alignment horizontal="left" vertical="center"/>
    </xf>
    <xf numFmtId="0" fontId="11" fillId="2" borderId="55" xfId="1" applyFont="1" applyFill="1" applyBorder="1" applyAlignment="1">
      <alignment horizontal="center" vertical="center"/>
    </xf>
    <xf numFmtId="0" fontId="17" fillId="0" borderId="3" xfId="1" applyFont="1" applyBorder="1" applyAlignment="1">
      <alignment horizontal="left" vertical="center" wrapText="1"/>
    </xf>
    <xf numFmtId="0" fontId="17" fillId="0" borderId="5" xfId="1" applyFont="1" applyBorder="1" applyAlignment="1">
      <alignment horizontal="left" vertical="center" wrapText="1"/>
    </xf>
    <xf numFmtId="0" fontId="17" fillId="0" borderId="4" xfId="1" applyFont="1" applyBorder="1" applyAlignment="1">
      <alignment horizontal="left" vertical="center" wrapText="1"/>
    </xf>
    <xf numFmtId="0" fontId="14" fillId="0" borderId="3" xfId="0" applyFont="1" applyBorder="1" applyAlignment="1">
      <alignment horizontal="left" vertical="center" wrapText="1"/>
    </xf>
    <xf numFmtId="0" fontId="14" fillId="0" borderId="5" xfId="0" applyFont="1" applyBorder="1" applyAlignment="1">
      <alignment horizontal="left" vertical="center" wrapText="1"/>
    </xf>
    <xf numFmtId="0" fontId="14" fillId="0" borderId="4" xfId="0" applyFont="1" applyBorder="1" applyAlignment="1">
      <alignment horizontal="left" vertical="center" wrapText="1"/>
    </xf>
    <xf numFmtId="165" fontId="16" fillId="0" borderId="1" xfId="83" applyNumberFormat="1" applyFont="1" applyFill="1" applyBorder="1" applyAlignment="1">
      <alignment horizontal="center" vertical="center" wrapText="1"/>
    </xf>
    <xf numFmtId="165" fontId="16" fillId="0" borderId="57" xfId="83" applyNumberFormat="1" applyFont="1" applyFill="1" applyBorder="1" applyAlignment="1">
      <alignment horizontal="center" vertical="center" wrapText="1"/>
    </xf>
    <xf numFmtId="165" fontId="16" fillId="0" borderId="67" xfId="83" applyNumberFormat="1" applyFont="1" applyFill="1" applyBorder="1" applyAlignment="1">
      <alignment horizontal="center" vertical="center" wrapText="1"/>
    </xf>
    <xf numFmtId="0" fontId="16" fillId="0" borderId="3" xfId="12" applyFont="1" applyBorder="1" applyAlignment="1">
      <alignment horizontal="center" vertical="center" wrapText="1"/>
    </xf>
    <xf numFmtId="0" fontId="16" fillId="0" borderId="5" xfId="12" applyFont="1" applyBorder="1" applyAlignment="1">
      <alignment horizontal="center" vertical="center" wrapText="1"/>
    </xf>
    <xf numFmtId="0" fontId="16" fillId="0" borderId="4" xfId="12" applyFont="1" applyBorder="1" applyAlignment="1">
      <alignment horizontal="center" vertical="center" wrapText="1"/>
    </xf>
    <xf numFmtId="0" fontId="16" fillId="0" borderId="25" xfId="12" applyFont="1" applyBorder="1" applyAlignment="1">
      <alignment horizontal="center" vertical="center" wrapText="1"/>
    </xf>
    <xf numFmtId="0" fontId="16" fillId="0" borderId="12" xfId="12" applyFont="1" applyBorder="1" applyAlignment="1">
      <alignment horizontal="center" vertical="center" wrapText="1"/>
    </xf>
    <xf numFmtId="0" fontId="16" fillId="0" borderId="7" xfId="12" applyFont="1" applyBorder="1" applyAlignment="1">
      <alignment horizontal="center" vertical="center" wrapText="1"/>
    </xf>
    <xf numFmtId="0" fontId="11" fillId="0" borderId="18" xfId="1" applyFont="1" applyBorder="1" applyAlignment="1">
      <alignment horizontal="center" vertical="center"/>
    </xf>
    <xf numFmtId="0" fontId="11" fillId="0" borderId="58" xfId="1" applyFont="1" applyBorder="1" applyAlignment="1">
      <alignment horizontal="center" vertical="center"/>
    </xf>
    <xf numFmtId="0" fontId="11" fillId="0" borderId="10" xfId="1" applyFont="1" applyBorder="1" applyAlignment="1">
      <alignment horizontal="center" vertical="center"/>
    </xf>
    <xf numFmtId="0" fontId="11" fillId="0" borderId="9" xfId="1" applyFont="1" applyBorder="1" applyAlignment="1">
      <alignment horizontal="center" vertical="center"/>
    </xf>
    <xf numFmtId="0" fontId="16" fillId="0" borderId="55" xfId="12" applyFont="1" applyBorder="1" applyAlignment="1">
      <alignment horizontal="center" vertical="center" wrapText="1"/>
    </xf>
    <xf numFmtId="0" fontId="16" fillId="0" borderId="17" xfId="12" applyFont="1" applyBorder="1" applyAlignment="1">
      <alignment horizontal="center" vertical="center" wrapText="1"/>
    </xf>
    <xf numFmtId="0" fontId="16" fillId="0" borderId="10" xfId="12" applyFont="1" applyBorder="1" applyAlignment="1">
      <alignment horizontal="center" vertical="center" wrapText="1"/>
    </xf>
    <xf numFmtId="0" fontId="16" fillId="0" borderId="22" xfId="12" applyFont="1" applyBorder="1" applyAlignment="1">
      <alignment horizontal="center" vertical="center" wrapText="1"/>
    </xf>
    <xf numFmtId="0" fontId="16" fillId="0" borderId="19" xfId="12" applyFont="1" applyBorder="1" applyAlignment="1">
      <alignment horizontal="center" vertical="center" wrapText="1"/>
    </xf>
    <xf numFmtId="0" fontId="16" fillId="0" borderId="20" xfId="12" applyFont="1" applyBorder="1" applyAlignment="1">
      <alignment horizontal="center" vertical="center" wrapText="1"/>
    </xf>
    <xf numFmtId="0" fontId="12" fillId="0" borderId="59" xfId="1" applyBorder="1" applyAlignment="1">
      <alignment horizontal="center"/>
    </xf>
    <xf numFmtId="0" fontId="43" fillId="0" borderId="0" xfId="0" applyFont="1" applyAlignment="1">
      <alignment horizontal="left" vertical="center" wrapText="1"/>
    </xf>
    <xf numFmtId="0" fontId="14" fillId="0" borderId="59" xfId="1" applyFont="1" applyBorder="1" applyAlignment="1">
      <alignment horizontal="center"/>
    </xf>
    <xf numFmtId="0" fontId="22" fillId="0" borderId="0" xfId="1" applyFont="1" applyAlignment="1">
      <alignment horizontal="left" vertical="center"/>
    </xf>
    <xf numFmtId="0" fontId="11" fillId="0" borderId="59" xfId="1" applyFont="1" applyBorder="1" applyAlignment="1">
      <alignment horizontal="center" vertical="center"/>
    </xf>
    <xf numFmtId="0" fontId="11" fillId="0" borderId="8" xfId="1" applyFont="1" applyBorder="1" applyAlignment="1">
      <alignment horizontal="center" vertical="center"/>
    </xf>
    <xf numFmtId="0" fontId="17" fillId="0" borderId="59" xfId="1" applyFont="1" applyBorder="1" applyAlignment="1">
      <alignment horizontal="center" vertical="center" wrapText="1"/>
    </xf>
    <xf numFmtId="0" fontId="16" fillId="0" borderId="21" xfId="12" applyFont="1" applyBorder="1" applyAlignment="1">
      <alignment horizontal="center" vertical="center" wrapText="1"/>
    </xf>
    <xf numFmtId="0" fontId="16" fillId="0" borderId="23" xfId="12" applyFont="1" applyBorder="1" applyAlignment="1">
      <alignment horizontal="center" vertical="center" wrapText="1"/>
    </xf>
    <xf numFmtId="0" fontId="16" fillId="0" borderId="24" xfId="12" applyFont="1" applyBorder="1" applyAlignment="1">
      <alignment horizontal="center" vertical="center" wrapText="1"/>
    </xf>
    <xf numFmtId="0" fontId="16" fillId="0" borderId="60" xfId="12" applyFont="1" applyBorder="1" applyAlignment="1">
      <alignment horizontal="center" vertical="center" wrapText="1"/>
    </xf>
    <xf numFmtId="0" fontId="54" fillId="0" borderId="56" xfId="1" applyFont="1" applyBorder="1" applyAlignment="1">
      <alignment horizontal="left" vertical="center" wrapText="1"/>
    </xf>
    <xf numFmtId="0" fontId="54" fillId="0" borderId="0" xfId="1" applyFont="1" applyAlignment="1">
      <alignment horizontal="left" vertical="center" wrapText="1"/>
    </xf>
    <xf numFmtId="0" fontId="16" fillId="7" borderId="17" xfId="1" applyFont="1" applyFill="1" applyBorder="1" applyAlignment="1">
      <alignment horizontal="left" vertical="center" wrapText="1"/>
    </xf>
    <xf numFmtId="0" fontId="16" fillId="7" borderId="0" xfId="1" applyFont="1" applyFill="1" applyAlignment="1">
      <alignment horizontal="left" vertical="center" wrapText="1"/>
    </xf>
    <xf numFmtId="0" fontId="28" fillId="0" borderId="17" xfId="12" applyFont="1" applyBorder="1" applyAlignment="1">
      <alignment horizontal="left"/>
    </xf>
    <xf numFmtId="0" fontId="28" fillId="0" borderId="0" xfId="12" applyFont="1" applyAlignment="1">
      <alignment horizontal="left"/>
    </xf>
    <xf numFmtId="0" fontId="13" fillId="6" borderId="3" xfId="1" applyFont="1" applyFill="1" applyBorder="1" applyAlignment="1" applyProtection="1">
      <alignment horizontal="center" vertical="center" wrapText="1"/>
      <protection locked="0"/>
    </xf>
    <xf numFmtId="0" fontId="13" fillId="6" borderId="4" xfId="1" applyFont="1" applyFill="1" applyBorder="1" applyAlignment="1" applyProtection="1">
      <alignment horizontal="center" vertical="center" wrapText="1"/>
      <protection locked="0"/>
    </xf>
    <xf numFmtId="0" fontId="52" fillId="6" borderId="3" xfId="1" applyFont="1" applyFill="1" applyBorder="1" applyAlignment="1" applyProtection="1">
      <alignment horizontal="center" vertical="center"/>
      <protection locked="0"/>
    </xf>
    <xf numFmtId="0" fontId="52" fillId="6" borderId="5" xfId="1" applyFont="1" applyFill="1" applyBorder="1" applyAlignment="1" applyProtection="1">
      <alignment horizontal="center" vertical="center"/>
      <protection locked="0"/>
    </xf>
    <xf numFmtId="0" fontId="26" fillId="6" borderId="0" xfId="0" applyFont="1" applyFill="1" applyAlignment="1">
      <alignment horizontal="left" vertical="center"/>
    </xf>
    <xf numFmtId="0" fontId="13" fillId="6" borderId="0" xfId="1" applyFont="1" applyFill="1" applyAlignment="1">
      <alignment horizontal="left" vertical="center" wrapText="1"/>
    </xf>
    <xf numFmtId="0" fontId="13" fillId="6" borderId="8" xfId="1" applyFont="1" applyFill="1" applyBorder="1" applyAlignment="1">
      <alignment vertical="center" wrapText="1"/>
    </xf>
    <xf numFmtId="0" fontId="30" fillId="2" borderId="3" xfId="0" applyFont="1" applyFill="1" applyBorder="1" applyAlignment="1" applyProtection="1">
      <alignment horizontal="center" vertical="center" wrapText="1"/>
      <protection locked="0"/>
    </xf>
    <xf numFmtId="0" fontId="30" fillId="2" borderId="5" xfId="0" applyFont="1" applyFill="1" applyBorder="1" applyAlignment="1" applyProtection="1">
      <alignment horizontal="center" vertical="center" wrapText="1"/>
      <protection locked="0"/>
    </xf>
    <xf numFmtId="0" fontId="30" fillId="2" borderId="4" xfId="0" applyFont="1" applyFill="1" applyBorder="1" applyAlignment="1" applyProtection="1">
      <alignment horizontal="center" vertical="center" wrapText="1"/>
      <protection locked="0"/>
    </xf>
    <xf numFmtId="0" fontId="30" fillId="2" borderId="1" xfId="0" applyFont="1" applyFill="1" applyBorder="1" applyAlignment="1">
      <alignment horizontal="center" vertical="center" wrapText="1"/>
    </xf>
    <xf numFmtId="0" fontId="30" fillId="2" borderId="2" xfId="0" applyFont="1" applyFill="1" applyBorder="1" applyAlignment="1">
      <alignment horizontal="center" vertical="center" wrapText="1"/>
    </xf>
    <xf numFmtId="164" fontId="13" fillId="6" borderId="3" xfId="1" applyNumberFormat="1" applyFont="1" applyFill="1" applyBorder="1" applyAlignment="1" applyProtection="1">
      <alignment horizontal="center" vertical="center"/>
      <protection locked="0"/>
    </xf>
    <xf numFmtId="164" fontId="13" fillId="6" borderId="5" xfId="1" applyNumberFormat="1" applyFont="1" applyFill="1" applyBorder="1" applyAlignment="1" applyProtection="1">
      <alignment horizontal="center" vertical="center"/>
      <protection locked="0"/>
    </xf>
    <xf numFmtId="164" fontId="13" fillId="6" borderId="4" xfId="1" applyNumberFormat="1" applyFont="1" applyFill="1" applyBorder="1" applyAlignment="1" applyProtection="1">
      <alignment horizontal="center" vertical="center"/>
      <protection locked="0"/>
    </xf>
    <xf numFmtId="0" fontId="11" fillId="10" borderId="18" xfId="0" applyFont="1" applyFill="1" applyBorder="1" applyAlignment="1">
      <alignment horizontal="left" vertical="center" wrapText="1"/>
    </xf>
    <xf numFmtId="0" fontId="11" fillId="10" borderId="17" xfId="0" applyFont="1" applyFill="1" applyBorder="1" applyAlignment="1">
      <alignment horizontal="left" vertical="center" wrapText="1"/>
    </xf>
    <xf numFmtId="0" fontId="11" fillId="10" borderId="10" xfId="0" applyFont="1" applyFill="1" applyBorder="1" applyAlignment="1">
      <alignment horizontal="left" vertical="center" wrapText="1"/>
    </xf>
    <xf numFmtId="0" fontId="26" fillId="6" borderId="56" xfId="0" applyFont="1" applyFill="1" applyBorder="1" applyAlignment="1">
      <alignment horizontal="left" vertical="center"/>
    </xf>
    <xf numFmtId="0" fontId="11" fillId="6" borderId="8" xfId="0" applyFont="1" applyFill="1" applyBorder="1" applyAlignment="1">
      <alignment horizontal="center"/>
    </xf>
    <xf numFmtId="0" fontId="18" fillId="0" borderId="56" xfId="0" applyFont="1" applyBorder="1" applyAlignment="1">
      <alignment horizontal="left" vertical="center" wrapText="1"/>
    </xf>
    <xf numFmtId="0" fontId="18" fillId="0" borderId="0" xfId="0" applyFont="1" applyAlignment="1">
      <alignment horizontal="left" vertical="center" wrapText="1"/>
    </xf>
    <xf numFmtId="0" fontId="12" fillId="0" borderId="0" xfId="1" applyAlignment="1">
      <alignment horizontal="left"/>
    </xf>
    <xf numFmtId="0" fontId="30" fillId="5" borderId="14" xfId="0" applyFont="1" applyFill="1" applyBorder="1" applyAlignment="1">
      <alignment horizontal="center" vertical="center" wrapText="1"/>
    </xf>
    <xf numFmtId="0" fontId="30" fillId="5" borderId="15" xfId="0" applyFont="1" applyFill="1" applyBorder="1" applyAlignment="1">
      <alignment horizontal="center" vertical="center" wrapText="1"/>
    </xf>
    <xf numFmtId="0" fontId="30" fillId="5" borderId="6" xfId="0" applyFont="1" applyFill="1" applyBorder="1" applyAlignment="1">
      <alignment horizontal="center" vertical="center" wrapText="1"/>
    </xf>
    <xf numFmtId="0" fontId="30" fillId="5" borderId="12" xfId="0" applyFont="1" applyFill="1" applyBorder="1" applyAlignment="1">
      <alignment horizontal="center" vertical="center" wrapText="1"/>
    </xf>
    <xf numFmtId="0" fontId="30" fillId="5" borderId="48" xfId="0" applyFont="1" applyFill="1" applyBorder="1" applyAlignment="1">
      <alignment horizontal="center" vertical="center" wrapText="1"/>
    </xf>
    <xf numFmtId="0" fontId="26" fillId="0" borderId="0" xfId="0" applyFont="1" applyAlignment="1">
      <alignment horizontal="left" vertical="center"/>
    </xf>
    <xf numFmtId="0" fontId="11" fillId="2" borderId="6" xfId="0" applyFont="1" applyFill="1" applyBorder="1" applyAlignment="1">
      <alignment horizontal="center" vertical="center" wrapText="1"/>
    </xf>
    <xf numFmtId="0" fontId="11" fillId="2" borderId="12" xfId="0" applyFont="1" applyFill="1" applyBorder="1" applyAlignment="1">
      <alignment horizontal="center" vertical="center" wrapText="1"/>
    </xf>
    <xf numFmtId="0" fontId="11" fillId="2" borderId="7" xfId="0" applyFont="1" applyFill="1" applyBorder="1" applyAlignment="1">
      <alignment horizontal="center" vertical="center" wrapText="1"/>
    </xf>
    <xf numFmtId="0" fontId="30" fillId="5" borderId="7" xfId="0" applyFont="1" applyFill="1" applyBorder="1" applyAlignment="1">
      <alignment horizontal="center" vertical="center" wrapText="1"/>
    </xf>
    <xf numFmtId="0" fontId="16" fillId="5" borderId="6" xfId="0" applyFont="1" applyFill="1" applyBorder="1" applyAlignment="1">
      <alignment horizontal="center" vertical="center" wrapText="1"/>
    </xf>
    <xf numFmtId="0" fontId="16" fillId="5" borderId="12" xfId="0" applyFont="1" applyFill="1" applyBorder="1" applyAlignment="1">
      <alignment horizontal="center" vertical="center" wrapText="1"/>
    </xf>
    <xf numFmtId="0" fontId="16" fillId="5" borderId="7" xfId="0" applyFont="1" applyFill="1" applyBorder="1" applyAlignment="1">
      <alignment horizontal="center" vertical="center" wrapText="1"/>
    </xf>
    <xf numFmtId="0" fontId="18" fillId="0" borderId="8" xfId="0" applyFont="1" applyBorder="1" applyAlignment="1">
      <alignment horizontal="left" vertical="center" wrapText="1"/>
    </xf>
    <xf numFmtId="0" fontId="11" fillId="2" borderId="33" xfId="0" applyFont="1" applyFill="1" applyBorder="1" applyAlignment="1">
      <alignment horizontal="center" vertical="center"/>
    </xf>
    <xf numFmtId="0" fontId="11" fillId="2" borderId="29" xfId="0" applyFont="1" applyFill="1" applyBorder="1" applyAlignment="1">
      <alignment horizontal="center" vertical="center"/>
    </xf>
    <xf numFmtId="0" fontId="11" fillId="2" borderId="30" xfId="0" applyFont="1" applyFill="1" applyBorder="1" applyAlignment="1">
      <alignment horizontal="center" vertical="center"/>
    </xf>
    <xf numFmtId="0" fontId="11" fillId="2" borderId="31" xfId="0" applyFont="1" applyFill="1" applyBorder="1" applyAlignment="1">
      <alignment horizontal="center" vertical="center"/>
    </xf>
    <xf numFmtId="0" fontId="20" fillId="0" borderId="37" xfId="0" applyFont="1" applyBorder="1" applyAlignment="1">
      <alignment horizontal="center" vertical="center"/>
    </xf>
    <xf numFmtId="0" fontId="20" fillId="0" borderId="15" xfId="0" applyFont="1" applyBorder="1" applyAlignment="1">
      <alignment horizontal="center" vertical="center"/>
    </xf>
    <xf numFmtId="0" fontId="11" fillId="2" borderId="32" xfId="0" applyFont="1" applyFill="1" applyBorder="1" applyAlignment="1">
      <alignment horizontal="center" vertical="center"/>
    </xf>
    <xf numFmtId="0" fontId="31" fillId="2" borderId="32" xfId="0" applyFont="1" applyFill="1" applyBorder="1" applyAlignment="1">
      <alignment horizontal="center" vertical="center"/>
    </xf>
    <xf numFmtId="0" fontId="11" fillId="2" borderId="55" xfId="0" applyFont="1" applyFill="1" applyBorder="1" applyAlignment="1">
      <alignment horizontal="center" vertical="center"/>
    </xf>
    <xf numFmtId="0" fontId="11" fillId="2" borderId="17" xfId="0" applyFont="1" applyFill="1" applyBorder="1" applyAlignment="1">
      <alignment horizontal="center" vertical="center"/>
    </xf>
    <xf numFmtId="0" fontId="31" fillId="2" borderId="10" xfId="0" applyFont="1" applyFill="1" applyBorder="1" applyAlignment="1">
      <alignment horizontal="center" vertical="center"/>
    </xf>
    <xf numFmtId="0" fontId="34" fillId="6" borderId="4" xfId="2" applyFont="1" applyFill="1" applyBorder="1" applyAlignment="1" applyProtection="1">
      <alignment horizontal="left" vertical="center"/>
    </xf>
    <xf numFmtId="0" fontId="34" fillId="6" borderId="55" xfId="2" applyFont="1" applyFill="1" applyBorder="1" applyAlignment="1" applyProtection="1">
      <alignment horizontal="left" vertical="center"/>
    </xf>
    <xf numFmtId="0" fontId="34" fillId="6" borderId="33" xfId="2" applyFont="1" applyFill="1" applyBorder="1" applyAlignment="1" applyProtection="1">
      <alignment horizontal="left" vertical="center"/>
    </xf>
    <xf numFmtId="0" fontId="34" fillId="6" borderId="27" xfId="2" applyFont="1" applyFill="1" applyBorder="1" applyAlignment="1" applyProtection="1">
      <alignment horizontal="left" vertical="center"/>
    </xf>
    <xf numFmtId="0" fontId="34" fillId="6" borderId="2" xfId="2" applyFont="1" applyFill="1" applyBorder="1" applyAlignment="1" applyProtection="1">
      <alignment horizontal="left" vertical="center"/>
    </xf>
    <xf numFmtId="0" fontId="34" fillId="6" borderId="41" xfId="2" applyFont="1" applyFill="1" applyBorder="1" applyAlignment="1" applyProtection="1">
      <alignment horizontal="left" vertical="center"/>
    </xf>
    <xf numFmtId="0" fontId="19" fillId="2" borderId="4" xfId="0" applyFont="1" applyFill="1" applyBorder="1" applyAlignment="1">
      <alignment horizontal="left" vertical="center"/>
    </xf>
    <xf numFmtId="0" fontId="19" fillId="2" borderId="55" xfId="0" applyFont="1" applyFill="1" applyBorder="1" applyAlignment="1">
      <alignment horizontal="left" vertical="center"/>
    </xf>
    <xf numFmtId="0" fontId="19" fillId="2" borderId="33" xfId="0" applyFont="1" applyFill="1" applyBorder="1" applyAlignment="1">
      <alignment horizontal="left" vertical="center"/>
    </xf>
    <xf numFmtId="0" fontId="12" fillId="2" borderId="4" xfId="2" applyFont="1" applyFill="1" applyBorder="1" applyAlignment="1" applyProtection="1">
      <alignment horizontal="left" vertical="center"/>
    </xf>
    <xf numFmtId="0" fontId="12" fillId="2" borderId="55" xfId="2" applyFont="1" applyFill="1" applyBorder="1" applyAlignment="1" applyProtection="1">
      <alignment horizontal="left" vertical="center"/>
    </xf>
    <xf numFmtId="0" fontId="12" fillId="2" borderId="33" xfId="2" applyFont="1" applyFill="1" applyBorder="1" applyAlignment="1" applyProtection="1">
      <alignment horizontal="left" vertical="center"/>
    </xf>
    <xf numFmtId="0" fontId="34" fillId="6" borderId="45" xfId="2" applyFont="1" applyFill="1" applyBorder="1" applyAlignment="1" applyProtection="1">
      <alignment horizontal="left" vertical="center"/>
    </xf>
    <xf numFmtId="0" fontId="34" fillId="6" borderId="35" xfId="2" applyFont="1" applyFill="1" applyBorder="1" applyAlignment="1" applyProtection="1">
      <alignment horizontal="left" vertical="center"/>
    </xf>
    <xf numFmtId="0" fontId="34" fillId="6" borderId="36" xfId="2" applyFont="1" applyFill="1" applyBorder="1" applyAlignment="1" applyProtection="1">
      <alignment horizontal="left" vertical="center"/>
    </xf>
    <xf numFmtId="0" fontId="34" fillId="0" borderId="4" xfId="2" applyFont="1" applyFill="1" applyBorder="1" applyAlignment="1" applyProtection="1">
      <alignment horizontal="left" vertical="center"/>
    </xf>
    <xf numFmtId="0" fontId="34" fillId="0" borderId="55" xfId="2" applyFont="1" applyFill="1" applyBorder="1" applyAlignment="1" applyProtection="1">
      <alignment horizontal="left" vertical="center"/>
    </xf>
    <xf numFmtId="0" fontId="34" fillId="0" borderId="33" xfId="2" applyFont="1" applyFill="1" applyBorder="1" applyAlignment="1" applyProtection="1">
      <alignment horizontal="left" vertical="center"/>
    </xf>
    <xf numFmtId="0" fontId="12" fillId="6" borderId="34" xfId="0" applyFont="1" applyFill="1" applyBorder="1" applyAlignment="1">
      <alignment horizontal="left" vertical="center" wrapText="1"/>
    </xf>
    <xf numFmtId="0" fontId="12" fillId="6" borderId="35" xfId="0" applyFont="1" applyFill="1" applyBorder="1" applyAlignment="1">
      <alignment horizontal="left" vertical="center" wrapText="1"/>
    </xf>
    <xf numFmtId="0" fontId="12" fillId="6" borderId="36" xfId="0" applyFont="1" applyFill="1" applyBorder="1" applyAlignment="1">
      <alignment horizontal="left" vertical="center" wrapText="1"/>
    </xf>
    <xf numFmtId="0" fontId="12" fillId="6" borderId="32" xfId="0" applyFont="1" applyFill="1" applyBorder="1" applyAlignment="1">
      <alignment horizontal="left" vertical="center" wrapText="1"/>
    </xf>
    <xf numFmtId="0" fontId="12" fillId="6" borderId="55" xfId="0" applyFont="1" applyFill="1" applyBorder="1" applyAlignment="1">
      <alignment horizontal="left" vertical="center" wrapText="1"/>
    </xf>
    <xf numFmtId="0" fontId="12" fillId="6" borderId="33" xfId="0" applyFont="1" applyFill="1" applyBorder="1" applyAlignment="1">
      <alignment horizontal="left" vertical="center" wrapText="1"/>
    </xf>
    <xf numFmtId="0" fontId="12" fillId="0" borderId="32" xfId="0" applyFont="1" applyBorder="1" applyAlignment="1">
      <alignment horizontal="left" vertical="center" indent="2"/>
    </xf>
    <xf numFmtId="0" fontId="12" fillId="0" borderId="55" xfId="0" applyFont="1" applyBorder="1" applyAlignment="1">
      <alignment horizontal="left" vertical="center" indent="2"/>
    </xf>
    <xf numFmtId="0" fontId="12" fillId="0" borderId="33" xfId="0" applyFont="1" applyBorder="1" applyAlignment="1">
      <alignment horizontal="left" vertical="center" indent="2"/>
    </xf>
    <xf numFmtId="0" fontId="12" fillId="6" borderId="32" xfId="0" applyFont="1" applyFill="1" applyBorder="1" applyAlignment="1">
      <alignment horizontal="left" vertical="center" indent="2"/>
    </xf>
    <xf numFmtId="0" fontId="12" fillId="6" borderId="55" xfId="0" applyFont="1" applyFill="1" applyBorder="1" applyAlignment="1">
      <alignment horizontal="left" vertical="center" indent="2"/>
    </xf>
    <xf numFmtId="0" fontId="12" fillId="6" borderId="33" xfId="0" applyFont="1" applyFill="1" applyBorder="1" applyAlignment="1">
      <alignment horizontal="left" vertical="center" indent="2"/>
    </xf>
    <xf numFmtId="0" fontId="11" fillId="2" borderId="26" xfId="0" applyFont="1" applyFill="1" applyBorder="1" applyAlignment="1">
      <alignment horizontal="center" vertical="center"/>
    </xf>
    <xf numFmtId="0" fontId="11" fillId="2" borderId="38" xfId="0" applyFont="1" applyFill="1" applyBorder="1" applyAlignment="1">
      <alignment horizontal="center" vertical="center"/>
    </xf>
    <xf numFmtId="0" fontId="11" fillId="2" borderId="39" xfId="0" applyFont="1" applyFill="1" applyBorder="1" applyAlignment="1">
      <alignment horizontal="center" vertical="center"/>
    </xf>
    <xf numFmtId="0" fontId="12" fillId="6" borderId="23" xfId="0" applyFont="1" applyFill="1" applyBorder="1" applyAlignment="1">
      <alignment horizontal="left" vertical="center" wrapText="1"/>
    </xf>
    <xf numFmtId="0" fontId="12" fillId="6" borderId="5" xfId="0" applyFont="1" applyFill="1" applyBorder="1" applyAlignment="1">
      <alignment horizontal="left" vertical="center" wrapText="1"/>
    </xf>
    <xf numFmtId="0" fontId="12" fillId="6" borderId="38" xfId="0" applyFont="1" applyFill="1" applyBorder="1" applyAlignment="1">
      <alignment horizontal="left" vertical="center" wrapText="1"/>
    </xf>
    <xf numFmtId="0" fontId="37" fillId="6" borderId="4" xfId="7" applyFont="1" applyFill="1" applyBorder="1" applyAlignment="1" applyProtection="1">
      <alignment horizontal="left" vertical="center"/>
    </xf>
    <xf numFmtId="0" fontId="37" fillId="6" borderId="55" xfId="7" applyFont="1" applyFill="1" applyBorder="1" applyAlignment="1" applyProtection="1">
      <alignment horizontal="left" vertical="center"/>
    </xf>
    <xf numFmtId="0" fontId="37" fillId="6" borderId="33" xfId="7" applyFont="1" applyFill="1" applyBorder="1" applyAlignment="1" applyProtection="1">
      <alignment horizontal="left" vertical="center"/>
    </xf>
    <xf numFmtId="0" fontId="37" fillId="6" borderId="27" xfId="7" applyFont="1" applyFill="1" applyBorder="1" applyAlignment="1" applyProtection="1">
      <alignment horizontal="left" vertical="center"/>
    </xf>
    <xf numFmtId="0" fontId="37" fillId="6" borderId="2" xfId="7" applyFont="1" applyFill="1" applyBorder="1" applyAlignment="1" applyProtection="1">
      <alignment horizontal="left" vertical="center"/>
    </xf>
    <xf numFmtId="0" fontId="37" fillId="6" borderId="41" xfId="7" applyFont="1" applyFill="1" applyBorder="1" applyAlignment="1" applyProtection="1">
      <alignment horizontal="left" vertical="center"/>
    </xf>
    <xf numFmtId="0" fontId="12" fillId="6" borderId="0" xfId="0" applyFont="1" applyFill="1" applyAlignment="1">
      <alignment horizontal="left" vertical="center" wrapText="1"/>
    </xf>
    <xf numFmtId="0" fontId="12" fillId="6" borderId="40" xfId="0" applyFont="1" applyFill="1" applyBorder="1" applyAlignment="1">
      <alignment horizontal="left" vertical="center" wrapText="1"/>
    </xf>
    <xf numFmtId="0" fontId="12" fillId="6" borderId="2" xfId="0" applyFont="1" applyFill="1" applyBorder="1" applyAlignment="1">
      <alignment horizontal="left" vertical="center" wrapText="1"/>
    </xf>
    <xf numFmtId="0" fontId="12" fillId="6" borderId="41" xfId="0" applyFont="1" applyFill="1" applyBorder="1" applyAlignment="1">
      <alignment horizontal="left" vertical="center" wrapText="1"/>
    </xf>
    <xf numFmtId="0" fontId="11" fillId="5" borderId="42" xfId="0" applyFont="1" applyFill="1" applyBorder="1" applyAlignment="1">
      <alignment horizontal="left" vertical="center"/>
    </xf>
    <xf numFmtId="0" fontId="11" fillId="5" borderId="43" xfId="0" applyFont="1" applyFill="1" applyBorder="1" applyAlignment="1">
      <alignment horizontal="left" vertical="center"/>
    </xf>
    <xf numFmtId="0" fontId="11" fillId="5" borderId="44" xfId="0" applyFont="1" applyFill="1" applyBorder="1" applyAlignment="1">
      <alignment horizontal="left" vertical="center"/>
    </xf>
    <xf numFmtId="0" fontId="12" fillId="0" borderId="40" xfId="0" applyFont="1" applyBorder="1" applyAlignment="1">
      <alignment horizontal="left" vertical="center"/>
    </xf>
    <xf numFmtId="0" fontId="12" fillId="0" borderId="2" xfId="0" applyFont="1" applyBorder="1" applyAlignment="1">
      <alignment horizontal="left" vertical="center"/>
    </xf>
    <xf numFmtId="0" fontId="12" fillId="0" borderId="41" xfId="0" applyFont="1" applyBorder="1" applyAlignment="1">
      <alignment horizontal="left" vertical="center"/>
    </xf>
    <xf numFmtId="14" fontId="11" fillId="5" borderId="46" xfId="0" applyNumberFormat="1" applyFont="1" applyFill="1" applyBorder="1" applyAlignment="1">
      <alignment horizontal="center" vertical="center"/>
    </xf>
    <xf numFmtId="14" fontId="11" fillId="5" borderId="43" xfId="0" applyNumberFormat="1" applyFont="1" applyFill="1" applyBorder="1" applyAlignment="1">
      <alignment horizontal="center" vertical="center"/>
    </xf>
    <xf numFmtId="14" fontId="11" fillId="5" borderId="44" xfId="0" applyNumberFormat="1" applyFont="1" applyFill="1" applyBorder="1" applyAlignment="1">
      <alignment horizontal="center" vertical="center"/>
    </xf>
    <xf numFmtId="0" fontId="32" fillId="0" borderId="29" xfId="0" applyFont="1" applyBorder="1" applyAlignment="1">
      <alignment horizontal="center" vertical="center"/>
    </xf>
    <xf numFmtId="0" fontId="32" fillId="0" borderId="30" xfId="0" applyFont="1" applyBorder="1" applyAlignment="1">
      <alignment horizontal="center" vertical="center"/>
    </xf>
    <xf numFmtId="0" fontId="32" fillId="0" borderId="31" xfId="0" applyFont="1" applyBorder="1" applyAlignment="1">
      <alignment horizontal="center" vertical="center"/>
    </xf>
    <xf numFmtId="0" fontId="11" fillId="2" borderId="1" xfId="0" applyFont="1" applyFill="1" applyBorder="1" applyAlignment="1">
      <alignment horizontal="center" vertical="center"/>
    </xf>
    <xf numFmtId="0" fontId="31" fillId="2" borderId="55" xfId="0" applyFont="1" applyFill="1" applyBorder="1" applyAlignment="1">
      <alignment horizontal="center" vertical="center"/>
    </xf>
  </cellXfs>
  <cellStyles count="139">
    <cellStyle name="Comma" xfId="138" builtinId="3"/>
    <cellStyle name="Comma 2" xfId="8" xr:uid="{00000000-0005-0000-0000-000000000000}"/>
    <cellStyle name="Comma 2 2" xfId="109" xr:uid="{00000000-0005-0000-0000-000001000000}"/>
    <cellStyle name="Comma 3" xfId="9" xr:uid="{00000000-0005-0000-0000-000002000000}"/>
    <cellStyle name="Comma 3 2" xfId="110" xr:uid="{00000000-0005-0000-0000-000003000000}"/>
    <cellStyle name="Comma 3 3" xfId="111" xr:uid="{00000000-0005-0000-0000-000004000000}"/>
    <cellStyle name="Comma 3 4" xfId="112" xr:uid="{00000000-0005-0000-0000-000005000000}"/>
    <cellStyle name="Comma 4" xfId="113" xr:uid="{00000000-0005-0000-0000-000006000000}"/>
    <cellStyle name="Comma 5" xfId="114" xr:uid="{00000000-0005-0000-0000-000007000000}"/>
    <cellStyle name="Currency 2" xfId="10" xr:uid="{00000000-0005-0000-0000-000008000000}"/>
    <cellStyle name="Currency 2 2" xfId="115" xr:uid="{00000000-0005-0000-0000-000009000000}"/>
    <cellStyle name="Followed Hyperlink" xfId="19" builtinId="9" hidden="1"/>
    <cellStyle name="Followed Hyperlink" xfId="78" builtinId="9" hidden="1"/>
    <cellStyle name="Followed Hyperlink" xfId="50" builtinId="9" hidden="1"/>
    <cellStyle name="Followed Hyperlink" xfId="62" builtinId="9" hidden="1"/>
    <cellStyle name="Followed Hyperlink" xfId="22" builtinId="9" hidden="1"/>
    <cellStyle name="Followed Hyperlink" xfId="36" builtinId="9" hidden="1"/>
    <cellStyle name="Followed Hyperlink" xfId="52" builtinId="9" hidden="1"/>
    <cellStyle name="Followed Hyperlink" xfId="33" builtinId="9" hidden="1"/>
    <cellStyle name="Followed Hyperlink" xfId="34" builtinId="9" hidden="1"/>
    <cellStyle name="Followed Hyperlink" xfId="23" builtinId="9" hidden="1"/>
    <cellStyle name="Followed Hyperlink" xfId="77" builtinId="9" hidden="1"/>
    <cellStyle name="Followed Hyperlink" xfId="21" builtinId="9" hidden="1"/>
    <cellStyle name="Followed Hyperlink" xfId="26" builtinId="9" hidden="1"/>
    <cellStyle name="Followed Hyperlink" xfId="73" builtinId="9" hidden="1"/>
    <cellStyle name="Followed Hyperlink" xfId="54" builtinId="9" hidden="1"/>
    <cellStyle name="Followed Hyperlink" xfId="40" builtinId="9" hidden="1"/>
    <cellStyle name="Followed Hyperlink" xfId="43" builtinId="9" hidden="1"/>
    <cellStyle name="Followed Hyperlink" xfId="42" builtinId="9" hidden="1"/>
    <cellStyle name="Followed Hyperlink" xfId="53" builtinId="9" hidden="1"/>
    <cellStyle name="Followed Hyperlink" xfId="15" builtinId="9" hidden="1"/>
    <cellStyle name="Followed Hyperlink" xfId="35" builtinId="9" hidden="1"/>
    <cellStyle name="Followed Hyperlink" xfId="37" builtinId="9" hidden="1"/>
    <cellStyle name="Followed Hyperlink" xfId="38" builtinId="9" hidden="1"/>
    <cellStyle name="Followed Hyperlink" xfId="20" builtinId="9" hidden="1"/>
    <cellStyle name="Followed Hyperlink" xfId="24" builtinId="9" hidden="1"/>
    <cellStyle name="Followed Hyperlink" xfId="28" builtinId="9" hidden="1"/>
    <cellStyle name="Followed Hyperlink" xfId="60" builtinId="9" hidden="1"/>
    <cellStyle name="Followed Hyperlink" xfId="49" builtinId="9" hidden="1"/>
    <cellStyle name="Followed Hyperlink" xfId="51" builtinId="9" hidden="1"/>
    <cellStyle name="Followed Hyperlink" xfId="59" builtinId="9" hidden="1"/>
    <cellStyle name="Followed Hyperlink" xfId="82" builtinId="9" hidden="1"/>
    <cellStyle name="Followed Hyperlink" xfId="47" builtinId="9" hidden="1"/>
    <cellStyle name="Followed Hyperlink" xfId="48" builtinId="9" hidden="1"/>
    <cellStyle name="Followed Hyperlink" xfId="79" builtinId="9" hidden="1"/>
    <cellStyle name="Followed Hyperlink" xfId="75" builtinId="9" hidden="1"/>
    <cellStyle name="Followed Hyperlink" xfId="16" builtinId="9" hidden="1"/>
    <cellStyle name="Followed Hyperlink" xfId="56" builtinId="9" hidden="1"/>
    <cellStyle name="Followed Hyperlink" xfId="39" builtinId="9" hidden="1"/>
    <cellStyle name="Followed Hyperlink" xfId="27" builtinId="9" hidden="1"/>
    <cellStyle name="Followed Hyperlink" xfId="64" builtinId="9" hidden="1"/>
    <cellStyle name="Followed Hyperlink" xfId="29" builtinId="9" hidden="1"/>
    <cellStyle name="Followed Hyperlink" xfId="31" builtinId="9" hidden="1"/>
    <cellStyle name="Followed Hyperlink" xfId="81" builtinId="9" hidden="1"/>
    <cellStyle name="Followed Hyperlink" xfId="66" builtinId="9" hidden="1"/>
    <cellStyle name="Followed Hyperlink" xfId="76" builtinId="9" hidden="1"/>
    <cellStyle name="Followed Hyperlink" xfId="18" builtinId="9" hidden="1"/>
    <cellStyle name="Followed Hyperlink" xfId="68" builtinId="9" hidden="1"/>
    <cellStyle name="Followed Hyperlink" xfId="41" builtinId="9" hidden="1"/>
    <cellStyle name="Followed Hyperlink" xfId="61" builtinId="9" hidden="1"/>
    <cellStyle name="Followed Hyperlink" xfId="55" builtinId="9" hidden="1"/>
    <cellStyle name="Followed Hyperlink" xfId="63" builtinId="9" hidden="1"/>
    <cellStyle name="Followed Hyperlink" xfId="72" builtinId="9" hidden="1"/>
    <cellStyle name="Followed Hyperlink" xfId="67" builtinId="9" hidden="1"/>
    <cellStyle name="Followed Hyperlink" xfId="65" builtinId="9" hidden="1"/>
    <cellStyle name="Followed Hyperlink" xfId="58" builtinId="9" hidden="1"/>
    <cellStyle name="Followed Hyperlink" xfId="44" builtinId="9" hidden="1"/>
    <cellStyle name="Followed Hyperlink" xfId="45" builtinId="9" hidden="1"/>
    <cellStyle name="Followed Hyperlink" xfId="71" builtinId="9" hidden="1"/>
    <cellStyle name="Followed Hyperlink" xfId="30" builtinId="9" hidden="1"/>
    <cellStyle name="Followed Hyperlink" xfId="69" builtinId="9" hidden="1"/>
    <cellStyle name="Followed Hyperlink" xfId="32" builtinId="9" hidden="1"/>
    <cellStyle name="Followed Hyperlink" xfId="74" builtinId="9" hidden="1"/>
    <cellStyle name="Followed Hyperlink" xfId="57" builtinId="9" hidden="1"/>
    <cellStyle name="Followed Hyperlink" xfId="17" builtinId="9" hidden="1"/>
    <cellStyle name="Followed Hyperlink" xfId="46" builtinId="9" hidden="1"/>
    <cellStyle name="Followed Hyperlink" xfId="70" builtinId="9" hidden="1"/>
    <cellStyle name="Followed Hyperlink" xfId="25" builtinId="9" hidden="1"/>
    <cellStyle name="Followed Hyperlink" xfId="80" builtinId="9" hidden="1"/>
    <cellStyle name="Hyperlink" xfId="7" builtinId="8"/>
    <cellStyle name="Hyperlink 2" xfId="2" xr:uid="{00000000-0005-0000-0000-00004F000000}"/>
    <cellStyle name="Hyperlink 2 2" xfId="11" xr:uid="{00000000-0005-0000-0000-000050000000}"/>
    <cellStyle name="Normal" xfId="0" builtinId="0"/>
    <cellStyle name="Normal 2" xfId="1" xr:uid="{00000000-0005-0000-0000-000052000000}"/>
    <cellStyle name="Normal 2 2" xfId="105" xr:uid="{00000000-0005-0000-0000-000053000000}"/>
    <cellStyle name="Normal 2 2 2" xfId="137" xr:uid="{00000000-0005-0000-0000-000054000000}"/>
    <cellStyle name="Normal 2 3" xfId="116" xr:uid="{00000000-0005-0000-0000-000055000000}"/>
    <cellStyle name="Normal 2 4" xfId="117" xr:uid="{00000000-0005-0000-0000-000056000000}"/>
    <cellStyle name="Normal 3" xfId="3" xr:uid="{00000000-0005-0000-0000-000057000000}"/>
    <cellStyle name="Normal 3 2" xfId="4" xr:uid="{00000000-0005-0000-0000-000058000000}"/>
    <cellStyle name="Normal 3 2 2" xfId="12" xr:uid="{00000000-0005-0000-0000-000059000000}"/>
    <cellStyle name="Normal 3 2 2 2" xfId="87" xr:uid="{00000000-0005-0000-0000-00005A000000}"/>
    <cellStyle name="Normal 3 2 2 2 2" xfId="100" xr:uid="{00000000-0005-0000-0000-00005B000000}"/>
    <cellStyle name="Normal 3 2 2 2 2 2" xfId="136" xr:uid="{00000000-0005-0000-0000-00005C000000}"/>
    <cellStyle name="Normal 3 2 2 3" xfId="94" xr:uid="{00000000-0005-0000-0000-00005D000000}"/>
    <cellStyle name="Normal 3 2 2 4" xfId="118" xr:uid="{00000000-0005-0000-0000-00005E000000}"/>
    <cellStyle name="Normal 3 2 2 6" xfId="134" xr:uid="{00000000-0005-0000-0000-00005F000000}"/>
    <cellStyle name="Normal 3 2 2 7" xfId="135" xr:uid="{00000000-0005-0000-0000-000060000000}"/>
    <cellStyle name="Normal 3 2 3" xfId="86" xr:uid="{00000000-0005-0000-0000-000061000000}"/>
    <cellStyle name="Normal 3 2 3 2" xfId="99" xr:uid="{00000000-0005-0000-0000-000062000000}"/>
    <cellStyle name="Normal 3 2 4" xfId="92" xr:uid="{00000000-0005-0000-0000-000063000000}"/>
    <cellStyle name="Normal 3 2 5" xfId="119" xr:uid="{00000000-0005-0000-0000-000064000000}"/>
    <cellStyle name="Normal 3 3" xfId="13" xr:uid="{00000000-0005-0000-0000-000065000000}"/>
    <cellStyle name="Normal 3 3 2" xfId="88" xr:uid="{00000000-0005-0000-0000-000066000000}"/>
    <cellStyle name="Normal 3 3 2 2" xfId="101" xr:uid="{00000000-0005-0000-0000-000067000000}"/>
    <cellStyle name="Normal 3 3 3" xfId="95" xr:uid="{00000000-0005-0000-0000-000068000000}"/>
    <cellStyle name="Normal 3 4" xfId="85" xr:uid="{00000000-0005-0000-0000-000069000000}"/>
    <cellStyle name="Normal 3 4 2" xfId="98" xr:uid="{00000000-0005-0000-0000-00006A000000}"/>
    <cellStyle name="Normal 3 5" xfId="91" xr:uid="{00000000-0005-0000-0000-00006B000000}"/>
    <cellStyle name="Normal 3 6" xfId="120" xr:uid="{00000000-0005-0000-0000-00006C000000}"/>
    <cellStyle name="Normal 4" xfId="5" xr:uid="{00000000-0005-0000-0000-00006D000000}"/>
    <cellStyle name="Normal 4 2" xfId="14" xr:uid="{00000000-0005-0000-0000-00006E000000}"/>
    <cellStyle name="Normal 4 2 2" xfId="90" xr:uid="{00000000-0005-0000-0000-00006F000000}"/>
    <cellStyle name="Normal 4 2 2 2" xfId="103" xr:uid="{00000000-0005-0000-0000-000070000000}"/>
    <cellStyle name="Normal 4 2 3" xfId="96" xr:uid="{00000000-0005-0000-0000-000071000000}"/>
    <cellStyle name="Normal 4 3" xfId="89" xr:uid="{00000000-0005-0000-0000-000072000000}"/>
    <cellStyle name="Normal 4 3 2" xfId="102" xr:uid="{00000000-0005-0000-0000-000073000000}"/>
    <cellStyle name="Normal 4 4" xfId="93" xr:uid="{00000000-0005-0000-0000-000074000000}"/>
    <cellStyle name="Normal 4 5" xfId="121" xr:uid="{00000000-0005-0000-0000-000075000000}"/>
    <cellStyle name="Normal 5" xfId="84" xr:uid="{00000000-0005-0000-0000-000076000000}"/>
    <cellStyle name="Normal 5 2" xfId="97" xr:uid="{00000000-0005-0000-0000-000077000000}"/>
    <cellStyle name="Normal 5 3" xfId="122" xr:uid="{00000000-0005-0000-0000-000078000000}"/>
    <cellStyle name="Normal 6" xfId="104" xr:uid="{00000000-0005-0000-0000-000079000000}"/>
    <cellStyle name="Normal 7" xfId="106" xr:uid="{00000000-0005-0000-0000-00007A000000}"/>
    <cellStyle name="Normal 7 2" xfId="107" xr:uid="{00000000-0005-0000-0000-00007B000000}"/>
    <cellStyle name="Normal 7 2 2" xfId="123" xr:uid="{00000000-0005-0000-0000-00007C000000}"/>
    <cellStyle name="Normal 7 2 2 2" xfId="124" xr:uid="{00000000-0005-0000-0000-00007D000000}"/>
    <cellStyle name="Normal 7 2 3" xfId="125" xr:uid="{00000000-0005-0000-0000-00007E000000}"/>
    <cellStyle name="Normal 7 2 4" xfId="126" xr:uid="{00000000-0005-0000-0000-00007F000000}"/>
    <cellStyle name="Normal 7 3" xfId="127" xr:uid="{00000000-0005-0000-0000-000080000000}"/>
    <cellStyle name="Normal 7 3 2" xfId="128" xr:uid="{00000000-0005-0000-0000-000081000000}"/>
    <cellStyle name="Normal 8" xfId="108" xr:uid="{00000000-0005-0000-0000-000082000000}"/>
    <cellStyle name="Percent" xfId="83" builtinId="5"/>
    <cellStyle name="Percent 2" xfId="6" xr:uid="{00000000-0005-0000-0000-000084000000}"/>
    <cellStyle name="Percent 2 2" xfId="129" xr:uid="{00000000-0005-0000-0000-000085000000}"/>
    <cellStyle name="Percent 3" xfId="130" xr:uid="{00000000-0005-0000-0000-000086000000}"/>
    <cellStyle name="Percent 3 2" xfId="131" xr:uid="{00000000-0005-0000-0000-000087000000}"/>
    <cellStyle name="Percent 3 3" xfId="132" xr:uid="{00000000-0005-0000-0000-000088000000}"/>
    <cellStyle name="Percent 4" xfId="133" xr:uid="{00000000-0005-0000-0000-000089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8" Type="http://schemas.openxmlformats.org/officeDocument/2006/relationships/hyperlink" Target="http://leg1.state.va.us/cgi-bin/legp504.exe?000+cod+23-7.4" TargetMode="External"/><Relationship Id="rId13" Type="http://schemas.openxmlformats.org/officeDocument/2006/relationships/hyperlink" Target="http://leg1.state.va.us/cgi-bin/legp504.exe?000+cod+23-7.4C2" TargetMode="External"/><Relationship Id="rId18" Type="http://schemas.openxmlformats.org/officeDocument/2006/relationships/hyperlink" Target="http://leg1.state.va.us/cgi-bin/legp504.exe?000+cod+23-7.4C2" TargetMode="External"/><Relationship Id="rId3" Type="http://schemas.openxmlformats.org/officeDocument/2006/relationships/hyperlink" Target="http://leg1.state.va.us/cgi-bin/legp504.exe?000+cod+23-7.4C2" TargetMode="External"/><Relationship Id="rId21" Type="http://schemas.openxmlformats.org/officeDocument/2006/relationships/hyperlink" Target="http://lis.virginia.gov/cgi-bin/legp604.exe?131+ful+CHAP0166" TargetMode="External"/><Relationship Id="rId7" Type="http://schemas.openxmlformats.org/officeDocument/2006/relationships/hyperlink" Target="http://leg1.state.va.us/cgi-bin/legp504.exe?000+cod+23-7.4" TargetMode="External"/><Relationship Id="rId12" Type="http://schemas.openxmlformats.org/officeDocument/2006/relationships/hyperlink" Target="http://www.ed.gov/policy/highered/leg/hea08/index.html" TargetMode="External"/><Relationship Id="rId17" Type="http://schemas.openxmlformats.org/officeDocument/2006/relationships/hyperlink" Target="http://lis.virginia.gov/cgi-bin/legp604.exe?122+bud+24-2.01" TargetMode="External"/><Relationship Id="rId2" Type="http://schemas.openxmlformats.org/officeDocument/2006/relationships/hyperlink" Target="http://leg1.state.va.us/cgi-bin/legp504.exe?000+cod+23-7.4C2" TargetMode="External"/><Relationship Id="rId16" Type="http://schemas.openxmlformats.org/officeDocument/2006/relationships/hyperlink" Target="http://leg1.state.va.us/cgi-bin/legp504.exe?000+cod+23-7.4C1" TargetMode="External"/><Relationship Id="rId20" Type="http://schemas.openxmlformats.org/officeDocument/2006/relationships/hyperlink" Target="http://leg1.state.va.us/cgi-bin/legp504.exe?000+cod+23-7.4C2" TargetMode="External"/><Relationship Id="rId1" Type="http://schemas.openxmlformats.org/officeDocument/2006/relationships/hyperlink" Target="http://leg1.state.va.us/cgi-bin/legp504.exe?000+cod+23-7.4C2" TargetMode="External"/><Relationship Id="rId6" Type="http://schemas.openxmlformats.org/officeDocument/2006/relationships/hyperlink" Target="http://leg1.state.va.us/cgi-bin/legp504.exe?000+cod+23-7.4C2" TargetMode="External"/><Relationship Id="rId11" Type="http://schemas.openxmlformats.org/officeDocument/2006/relationships/hyperlink" Target="http://lis.virginia.gov/cgi-bin/legp604.exe?122+bud+24-2.01" TargetMode="External"/><Relationship Id="rId5" Type="http://schemas.openxmlformats.org/officeDocument/2006/relationships/hyperlink" Target="http://leg1.state.va.us/cgi-bin/legp504.exe?000+cod+23-7.4C2" TargetMode="External"/><Relationship Id="rId15" Type="http://schemas.openxmlformats.org/officeDocument/2006/relationships/hyperlink" Target="http://leg1.state.va.us/cgi-bin/legp504.exe?000+cod+23-7.4C1" TargetMode="External"/><Relationship Id="rId10" Type="http://schemas.openxmlformats.org/officeDocument/2006/relationships/hyperlink" Target="http://leg1.state.va.us/cgi-bin/legp504.exe?000+cod+23-7.4C2" TargetMode="External"/><Relationship Id="rId19" Type="http://schemas.openxmlformats.org/officeDocument/2006/relationships/hyperlink" Target="http://leg1.state.va.us/cgi-bin/legp504.exe?000+cod+23-31" TargetMode="External"/><Relationship Id="rId4" Type="http://schemas.openxmlformats.org/officeDocument/2006/relationships/hyperlink" Target="http://leg1.state.va.us/cgi-bin/legp504.exe?000+cod+23-7.4C2" TargetMode="External"/><Relationship Id="rId9" Type="http://schemas.openxmlformats.org/officeDocument/2006/relationships/hyperlink" Target="http://leg1.state.va.us/cgi-bin/legp504.exe?000+cod+23-7.4C2" TargetMode="External"/><Relationship Id="rId14" Type="http://schemas.openxmlformats.org/officeDocument/2006/relationships/hyperlink" Target="http://leg1.state.va.us/cgi-bin/legp504.exe?000+cod+23-38.54" TargetMode="Externa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cherndon@vccs.edu"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CE3009-A9CA-4ADB-966E-977003DAB000}">
  <dimension ref="A1:R66"/>
  <sheetViews>
    <sheetView topLeftCell="A5" workbookViewId="0">
      <selection activeCell="A19" sqref="A19"/>
    </sheetView>
  </sheetViews>
  <sheetFormatPr defaultColWidth="164.3828125" defaultRowHeight="15" x14ac:dyDescent="0.3"/>
  <cols>
    <col min="1" max="1" width="170.61328125" style="61" customWidth="1"/>
    <col min="2" max="16384" width="164.3828125" style="61"/>
  </cols>
  <sheetData>
    <row r="1" spans="1:1" ht="21" customHeight="1" x14ac:dyDescent="0.3">
      <c r="A1" s="60" t="s">
        <v>0</v>
      </c>
    </row>
    <row r="2" spans="1:1" ht="21" customHeight="1" x14ac:dyDescent="0.3">
      <c r="A2" s="60" t="s">
        <v>1</v>
      </c>
    </row>
    <row r="3" spans="1:1" ht="21" customHeight="1" x14ac:dyDescent="0.3">
      <c r="A3" s="350" t="s">
        <v>2</v>
      </c>
    </row>
    <row r="4" spans="1:1" ht="16.399999999999999" customHeight="1" x14ac:dyDescent="0.3">
      <c r="A4" s="351"/>
    </row>
    <row r="5" spans="1:1" ht="21" customHeight="1" x14ac:dyDescent="0.3">
      <c r="A5" s="62" t="s">
        <v>3</v>
      </c>
    </row>
    <row r="6" spans="1:1" s="63" customFormat="1" ht="75" customHeight="1" x14ac:dyDescent="0.3">
      <c r="A6" s="72" t="s">
        <v>4</v>
      </c>
    </row>
    <row r="7" spans="1:1" s="64" customFormat="1" ht="21" customHeight="1" x14ac:dyDescent="0.3">
      <c r="A7" s="62" t="s">
        <v>5</v>
      </c>
    </row>
    <row r="8" spans="1:1" s="63" customFormat="1" ht="69.650000000000006" customHeight="1" x14ac:dyDescent="0.3">
      <c r="A8" s="352" t="s">
        <v>6</v>
      </c>
    </row>
    <row r="9" spans="1:1" s="63" customFormat="1" ht="54.65" customHeight="1" thickBot="1" x14ac:dyDescent="0.35">
      <c r="A9" s="65" t="s">
        <v>7</v>
      </c>
    </row>
    <row r="10" spans="1:1" s="63" customFormat="1" ht="33" customHeight="1" thickBot="1" x14ac:dyDescent="0.35">
      <c r="A10" s="66" t="s">
        <v>8</v>
      </c>
    </row>
    <row r="11" spans="1:1" s="63" customFormat="1" ht="23.5" customHeight="1" x14ac:dyDescent="0.3">
      <c r="A11" s="68" t="s">
        <v>9</v>
      </c>
    </row>
    <row r="12" spans="1:1" s="63" customFormat="1" ht="57" customHeight="1" x14ac:dyDescent="0.3">
      <c r="A12" s="69" t="s">
        <v>10</v>
      </c>
    </row>
    <row r="13" spans="1:1" s="67" customFormat="1" ht="21" customHeight="1" x14ac:dyDescent="0.3">
      <c r="A13" s="68" t="s">
        <v>11</v>
      </c>
    </row>
    <row r="14" spans="1:1" s="67" customFormat="1" ht="73.5" customHeight="1" x14ac:dyDescent="0.3">
      <c r="A14" s="72" t="s">
        <v>12</v>
      </c>
    </row>
    <row r="15" spans="1:1" s="67" customFormat="1" ht="50.15" customHeight="1" x14ac:dyDescent="0.3">
      <c r="A15" s="72" t="s">
        <v>13</v>
      </c>
    </row>
    <row r="16" spans="1:1" s="71" customFormat="1" ht="21" customHeight="1" x14ac:dyDescent="0.3">
      <c r="A16" s="70" t="s">
        <v>14</v>
      </c>
    </row>
    <row r="17" spans="1:18" s="67" customFormat="1" ht="100.5" customHeight="1" x14ac:dyDescent="0.3">
      <c r="A17" s="72" t="s">
        <v>15</v>
      </c>
    </row>
    <row r="18" spans="1:18" s="67" customFormat="1" ht="21" customHeight="1" x14ac:dyDescent="0.3">
      <c r="A18" s="68" t="s">
        <v>16</v>
      </c>
    </row>
    <row r="19" spans="1:18" s="67" customFormat="1" ht="353.25" customHeight="1" x14ac:dyDescent="0.3">
      <c r="A19" s="371" t="s">
        <v>17</v>
      </c>
      <c r="B19" s="353"/>
      <c r="C19" s="353"/>
      <c r="D19" s="353"/>
      <c r="E19" s="353"/>
      <c r="F19" s="353"/>
      <c r="G19" s="353"/>
      <c r="H19" s="353"/>
      <c r="I19" s="353"/>
      <c r="J19" s="353"/>
      <c r="K19" s="353"/>
      <c r="L19" s="353"/>
      <c r="M19" s="353"/>
      <c r="N19" s="353"/>
      <c r="O19" s="353"/>
    </row>
    <row r="20" spans="1:18" s="67" customFormat="1" ht="180" x14ac:dyDescent="0.3">
      <c r="A20" s="354" t="s">
        <v>18</v>
      </c>
      <c r="B20" s="353"/>
      <c r="C20" s="353"/>
      <c r="D20" s="353"/>
      <c r="E20" s="353"/>
      <c r="F20" s="353"/>
      <c r="G20" s="353"/>
      <c r="H20" s="353"/>
      <c r="I20" s="353"/>
      <c r="J20" s="353"/>
      <c r="K20" s="353"/>
      <c r="L20" s="353"/>
      <c r="M20" s="353"/>
      <c r="N20" s="353"/>
      <c r="O20" s="353"/>
    </row>
    <row r="21" spans="1:18" s="63" customFormat="1" ht="37.5" customHeight="1" x14ac:dyDescent="0.3">
      <c r="A21" s="355" t="s">
        <v>19</v>
      </c>
    </row>
    <row r="22" spans="1:18" s="63" customFormat="1" ht="33.65" customHeight="1" x14ac:dyDescent="0.3">
      <c r="A22" s="356" t="s">
        <v>20</v>
      </c>
    </row>
    <row r="23" spans="1:18" s="63" customFormat="1" ht="21" customHeight="1" x14ac:dyDescent="0.3">
      <c r="A23" s="357" t="s">
        <v>21</v>
      </c>
    </row>
    <row r="24" spans="1:18" s="63" customFormat="1" ht="21" customHeight="1" x14ac:dyDescent="0.3">
      <c r="A24" s="357" t="s">
        <v>22</v>
      </c>
    </row>
    <row r="25" spans="1:18" s="63" customFormat="1" ht="21" customHeight="1" x14ac:dyDescent="0.3">
      <c r="A25" s="358" t="s">
        <v>23</v>
      </c>
    </row>
    <row r="26" spans="1:18" s="71" customFormat="1" ht="21" customHeight="1" thickBot="1" x14ac:dyDescent="0.35">
      <c r="A26" s="68" t="s">
        <v>24</v>
      </c>
      <c r="B26" s="233"/>
      <c r="C26" s="233"/>
      <c r="D26" s="233"/>
      <c r="E26" s="233"/>
      <c r="F26" s="233"/>
      <c r="G26" s="233"/>
      <c r="H26" s="233"/>
    </row>
    <row r="27" spans="1:18" s="63" customFormat="1" ht="145.5" customHeight="1" x14ac:dyDescent="0.3">
      <c r="A27" s="359" t="s">
        <v>25</v>
      </c>
      <c r="B27" s="232"/>
      <c r="C27" s="232"/>
      <c r="D27" s="232"/>
      <c r="E27" s="232"/>
      <c r="F27" s="232"/>
      <c r="G27" s="232"/>
      <c r="H27" s="232"/>
      <c r="I27" s="232"/>
      <c r="J27" s="232"/>
      <c r="K27" s="232"/>
      <c r="L27" s="232"/>
      <c r="M27" s="232"/>
      <c r="N27" s="232"/>
      <c r="O27" s="232"/>
      <c r="P27" s="232"/>
      <c r="Q27" s="232"/>
      <c r="R27" s="232"/>
    </row>
    <row r="28" spans="1:18" s="63" customFormat="1" ht="21" customHeight="1" x14ac:dyDescent="0.3">
      <c r="A28" s="68" t="s">
        <v>26</v>
      </c>
    </row>
    <row r="29" spans="1:18" s="63" customFormat="1" ht="147.75" customHeight="1" x14ac:dyDescent="0.3">
      <c r="A29" s="360" t="s">
        <v>27</v>
      </c>
      <c r="B29" s="232"/>
      <c r="C29" s="232"/>
      <c r="D29" s="232"/>
      <c r="E29" s="232"/>
      <c r="F29" s="232"/>
      <c r="G29" s="232"/>
      <c r="H29" s="232"/>
    </row>
    <row r="30" spans="1:18" s="63" customFormat="1" ht="38.5" customHeight="1" x14ac:dyDescent="0.3">
      <c r="A30" s="69" t="s">
        <v>28</v>
      </c>
    </row>
    <row r="31" spans="1:18" s="63" customFormat="1" ht="69" customHeight="1" x14ac:dyDescent="0.3">
      <c r="A31" s="69" t="s">
        <v>29</v>
      </c>
    </row>
    <row r="32" spans="1:18" s="67" customFormat="1" ht="51.65" customHeight="1" x14ac:dyDescent="0.3">
      <c r="A32" s="72" t="s">
        <v>30</v>
      </c>
    </row>
    <row r="33" spans="1:1" s="67" customFormat="1" ht="21" customHeight="1" x14ac:dyDescent="0.3">
      <c r="A33" s="73" t="s">
        <v>31</v>
      </c>
    </row>
    <row r="34" spans="1:1" ht="21" customHeight="1" x14ac:dyDescent="0.3">
      <c r="A34" s="74" t="s">
        <v>32</v>
      </c>
    </row>
    <row r="35" spans="1:1" ht="21" customHeight="1" x14ac:dyDescent="0.3">
      <c r="A35" s="74" t="s">
        <v>33</v>
      </c>
    </row>
    <row r="36" spans="1:1" s="63" customFormat="1" ht="21" customHeight="1" x14ac:dyDescent="0.3">
      <c r="A36" s="74" t="s">
        <v>34</v>
      </c>
    </row>
    <row r="37" spans="1:1" s="63" customFormat="1" ht="21" customHeight="1" x14ac:dyDescent="0.3">
      <c r="A37" s="74" t="s">
        <v>35</v>
      </c>
    </row>
    <row r="38" spans="1:1" s="63" customFormat="1" ht="21" customHeight="1" x14ac:dyDescent="0.3">
      <c r="A38" s="74" t="s">
        <v>36</v>
      </c>
    </row>
    <row r="39" spans="1:1" s="63" customFormat="1" ht="21" customHeight="1" x14ac:dyDescent="0.3">
      <c r="A39" s="68" t="s">
        <v>37</v>
      </c>
    </row>
    <row r="40" spans="1:1" s="67" customFormat="1" ht="21" customHeight="1" x14ac:dyDescent="0.3">
      <c r="A40" s="75" t="s">
        <v>38</v>
      </c>
    </row>
    <row r="41" spans="1:1" s="77" customFormat="1" ht="145.4" customHeight="1" x14ac:dyDescent="0.3">
      <c r="A41" s="76" t="s">
        <v>39</v>
      </c>
    </row>
    <row r="42" spans="1:1" s="77" customFormat="1" ht="57.65" customHeight="1" x14ac:dyDescent="0.3">
      <c r="A42" s="76" t="s">
        <v>40</v>
      </c>
    </row>
    <row r="43" spans="1:1" s="77" customFormat="1" ht="64.400000000000006" customHeight="1" x14ac:dyDescent="0.3">
      <c r="A43" s="76" t="s">
        <v>41</v>
      </c>
    </row>
    <row r="44" spans="1:1" s="77" customFormat="1" ht="77.150000000000006" customHeight="1" x14ac:dyDescent="0.3">
      <c r="A44" s="76" t="s">
        <v>42</v>
      </c>
    </row>
    <row r="45" spans="1:1" s="77" customFormat="1" ht="28.4" customHeight="1" x14ac:dyDescent="0.3">
      <c r="A45" s="76" t="s">
        <v>43</v>
      </c>
    </row>
    <row r="46" spans="1:1" s="77" customFormat="1" ht="26.15" customHeight="1" x14ac:dyDescent="0.3">
      <c r="A46" s="78" t="s">
        <v>44</v>
      </c>
    </row>
    <row r="47" spans="1:1" s="77" customFormat="1" ht="36" customHeight="1" x14ac:dyDescent="0.3">
      <c r="A47" s="76" t="s">
        <v>45</v>
      </c>
    </row>
    <row r="48" spans="1:1" s="77" customFormat="1" ht="20.25" customHeight="1" x14ac:dyDescent="0.3">
      <c r="A48" s="76" t="s">
        <v>46</v>
      </c>
    </row>
    <row r="49" spans="1:1" s="77" customFormat="1" ht="21.65" customHeight="1" x14ac:dyDescent="0.3">
      <c r="A49" s="76" t="s">
        <v>47</v>
      </c>
    </row>
    <row r="50" spans="1:1" s="77" customFormat="1" ht="24.65" customHeight="1" x14ac:dyDescent="0.3">
      <c r="A50" s="78" t="s">
        <v>48</v>
      </c>
    </row>
    <row r="51" spans="1:1" s="77" customFormat="1" ht="17.5" customHeight="1" x14ac:dyDescent="0.3">
      <c r="A51" s="78" t="s">
        <v>49</v>
      </c>
    </row>
    <row r="52" spans="1:1" s="77" customFormat="1" ht="35.15" customHeight="1" x14ac:dyDescent="0.3">
      <c r="A52" s="78" t="s">
        <v>50</v>
      </c>
    </row>
    <row r="53" spans="1:1" s="77" customFormat="1" ht="57" customHeight="1" x14ac:dyDescent="0.3">
      <c r="A53" s="78" t="s">
        <v>51</v>
      </c>
    </row>
    <row r="54" spans="1:1" s="77" customFormat="1" ht="62.15" customHeight="1" x14ac:dyDescent="0.3">
      <c r="A54" s="78" t="s">
        <v>52</v>
      </c>
    </row>
    <row r="55" spans="1:1" s="77" customFormat="1" ht="107.15" customHeight="1" x14ac:dyDescent="0.3">
      <c r="A55" s="78" t="s">
        <v>53</v>
      </c>
    </row>
    <row r="56" spans="1:1" s="77" customFormat="1" ht="63" customHeight="1" x14ac:dyDescent="0.3">
      <c r="A56" s="78" t="s">
        <v>54</v>
      </c>
    </row>
    <row r="57" spans="1:1" s="77" customFormat="1" ht="24" customHeight="1" x14ac:dyDescent="0.3">
      <c r="A57" s="78" t="s">
        <v>55</v>
      </c>
    </row>
    <row r="58" spans="1:1" s="77" customFormat="1" ht="23.15" customHeight="1" x14ac:dyDescent="0.3">
      <c r="A58" s="78" t="s">
        <v>56</v>
      </c>
    </row>
    <row r="59" spans="1:1" s="63" customFormat="1" ht="84.9" x14ac:dyDescent="0.3">
      <c r="A59" s="78" t="s">
        <v>57</v>
      </c>
    </row>
    <row r="60" spans="1:1" s="63" customFormat="1" ht="51.65" customHeight="1" x14ac:dyDescent="0.3">
      <c r="A60" s="78" t="s">
        <v>58</v>
      </c>
    </row>
    <row r="61" spans="1:1" s="63" customFormat="1" ht="89.5" customHeight="1" x14ac:dyDescent="0.3">
      <c r="A61" s="78" t="s">
        <v>59</v>
      </c>
    </row>
    <row r="62" spans="1:1" s="63" customFormat="1" ht="32.5" customHeight="1" x14ac:dyDescent="0.3">
      <c r="A62" s="78" t="s">
        <v>60</v>
      </c>
    </row>
    <row r="63" spans="1:1" hidden="1" x14ac:dyDescent="0.3">
      <c r="A63" s="79"/>
    </row>
    <row r="64" spans="1:1" hidden="1" x14ac:dyDescent="0.3">
      <c r="A64" s="79"/>
    </row>
    <row r="65" spans="1:1" hidden="1" x14ac:dyDescent="0.3">
      <c r="A65" s="79"/>
    </row>
    <row r="66" spans="1:1" s="101" customFormat="1" x14ac:dyDescent="0.3"/>
  </sheetData>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E16998-D293-4F33-8880-2AF2CB759698}">
  <dimension ref="A1:A16"/>
  <sheetViews>
    <sheetView workbookViewId="0">
      <selection activeCell="A16" sqref="A1:A16"/>
    </sheetView>
  </sheetViews>
  <sheetFormatPr defaultRowHeight="12.45" x14ac:dyDescent="0.3"/>
  <cols>
    <col min="1" max="1" width="40" bestFit="1" customWidth="1"/>
  </cols>
  <sheetData>
    <row r="1" spans="1:1" x14ac:dyDescent="0.3">
      <c r="A1" s="305" t="s">
        <v>263</v>
      </c>
    </row>
    <row r="2" spans="1:1" ht="15" x14ac:dyDescent="0.3">
      <c r="A2" s="303" t="s">
        <v>264</v>
      </c>
    </row>
    <row r="3" spans="1:1" ht="15" x14ac:dyDescent="0.3">
      <c r="A3" s="183" t="s">
        <v>265</v>
      </c>
    </row>
    <row r="4" spans="1:1" ht="15" x14ac:dyDescent="0.3">
      <c r="A4" s="303" t="s">
        <v>266</v>
      </c>
    </row>
    <row r="5" spans="1:1" ht="15" x14ac:dyDescent="0.3">
      <c r="A5" s="303" t="s">
        <v>267</v>
      </c>
    </row>
    <row r="6" spans="1:1" ht="15" x14ac:dyDescent="0.3">
      <c r="A6" s="302" t="s">
        <v>268</v>
      </c>
    </row>
    <row r="7" spans="1:1" ht="15" x14ac:dyDescent="0.3">
      <c r="A7" s="303" t="s">
        <v>269</v>
      </c>
    </row>
    <row r="8" spans="1:1" ht="15" x14ac:dyDescent="0.3">
      <c r="A8" s="304" t="s">
        <v>270</v>
      </c>
    </row>
    <row r="9" spans="1:1" ht="15" x14ac:dyDescent="0.3">
      <c r="A9" s="304" t="s">
        <v>271</v>
      </c>
    </row>
    <row r="10" spans="1:1" ht="15" x14ac:dyDescent="0.35">
      <c r="A10" s="306" t="s">
        <v>272</v>
      </c>
    </row>
    <row r="11" spans="1:1" ht="15" x14ac:dyDescent="0.35">
      <c r="A11" s="306" t="s">
        <v>273</v>
      </c>
    </row>
    <row r="12" spans="1:1" ht="15" x14ac:dyDescent="0.3">
      <c r="A12" s="304" t="s">
        <v>274</v>
      </c>
    </row>
    <row r="13" spans="1:1" ht="15" x14ac:dyDescent="0.3">
      <c r="A13" s="304" t="s">
        <v>275</v>
      </c>
    </row>
    <row r="14" spans="1:1" ht="15" x14ac:dyDescent="0.3">
      <c r="A14" s="304" t="s">
        <v>276</v>
      </c>
    </row>
    <row r="15" spans="1:1" ht="15" x14ac:dyDescent="0.3">
      <c r="A15" s="183" t="s">
        <v>277</v>
      </c>
    </row>
    <row r="16" spans="1:1" ht="15" x14ac:dyDescent="0.3">
      <c r="A16" s="183" t="s">
        <v>278</v>
      </c>
    </row>
  </sheetData>
  <sortState xmlns:xlrd2="http://schemas.microsoft.com/office/spreadsheetml/2017/richdata2" ref="A2:A15">
    <sortCondition ref="A2:A15"/>
  </sortState>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N135"/>
  <sheetViews>
    <sheetView topLeftCell="A55" workbookViewId="0">
      <selection sqref="A1:H1"/>
    </sheetView>
  </sheetViews>
  <sheetFormatPr defaultColWidth="8.61328125" defaultRowHeight="12.45" x14ac:dyDescent="0.3"/>
  <cols>
    <col min="1" max="1" width="55.61328125" customWidth="1"/>
    <col min="2" max="11" width="15.61328125" customWidth="1"/>
  </cols>
  <sheetData>
    <row r="1" spans="1:13" s="1" customFormat="1" ht="20.149999999999999" customHeight="1" x14ac:dyDescent="0.5">
      <c r="A1" s="437" t="str">
        <f>'Institution ID'!A1</f>
        <v>Six-Year Plans (2023): 2024-25 through 2029-30</v>
      </c>
      <c r="B1" s="437"/>
      <c r="C1" s="437"/>
      <c r="D1" s="437"/>
      <c r="E1" s="437"/>
      <c r="F1" s="437"/>
      <c r="G1" s="437"/>
      <c r="H1" s="437"/>
      <c r="I1" s="9"/>
      <c r="J1" s="8"/>
      <c r="K1" s="8"/>
      <c r="L1" s="8"/>
      <c r="M1" s="8"/>
    </row>
    <row r="2" spans="1:13" s="1" customFormat="1" ht="20.149999999999999" customHeight="1" x14ac:dyDescent="0.3">
      <c r="A2" s="373" t="str">
        <f>'Institution ID'!C3</f>
        <v>Virginia Community College System</v>
      </c>
      <c r="B2" s="31"/>
      <c r="C2" s="31"/>
      <c r="D2" s="31"/>
      <c r="E2" s="31"/>
      <c r="F2" s="31"/>
      <c r="G2" s="31"/>
      <c r="H2" s="31"/>
      <c r="I2" s="31"/>
      <c r="J2" s="8"/>
      <c r="K2" s="8"/>
      <c r="L2" s="8"/>
      <c r="M2" s="8"/>
    </row>
    <row r="3" spans="1:13" ht="20.149999999999999" customHeight="1" x14ac:dyDescent="0.3">
      <c r="A3" s="30" t="s">
        <v>279</v>
      </c>
      <c r="B3" s="30"/>
      <c r="C3" s="30"/>
      <c r="D3" s="30"/>
      <c r="E3" s="30"/>
      <c r="F3" s="30"/>
      <c r="G3" s="30"/>
      <c r="H3" s="30"/>
      <c r="I3" s="30"/>
    </row>
    <row r="4" spans="1:13" ht="20.149999999999999" customHeight="1" x14ac:dyDescent="0.3">
      <c r="A4" s="30" t="s">
        <v>280</v>
      </c>
      <c r="B4" s="30"/>
      <c r="C4" s="30"/>
      <c r="D4" s="30"/>
      <c r="E4" s="30"/>
      <c r="F4" s="30"/>
      <c r="G4" s="30"/>
      <c r="H4" s="30"/>
      <c r="I4" s="30"/>
    </row>
    <row r="5" spans="1:13" ht="20.149999999999999" customHeight="1" thickBot="1" x14ac:dyDescent="0.45">
      <c r="A5" s="11"/>
      <c r="B5" s="11"/>
      <c r="C5" s="11"/>
      <c r="D5" s="11"/>
      <c r="E5" s="11"/>
      <c r="F5" s="11"/>
      <c r="G5" s="11"/>
      <c r="H5" s="11"/>
      <c r="I5" s="11"/>
    </row>
    <row r="6" spans="1:13" s="12" customFormat="1" ht="20.149999999999999" customHeight="1" x14ac:dyDescent="0.3">
      <c r="A6" s="584" t="s">
        <v>281</v>
      </c>
      <c r="B6" s="585"/>
      <c r="C6" s="585"/>
      <c r="D6" s="585"/>
      <c r="E6" s="585"/>
      <c r="F6" s="585"/>
      <c r="G6" s="585"/>
      <c r="H6" s="586"/>
      <c r="I6" s="15"/>
    </row>
    <row r="7" spans="1:13" s="1" customFormat="1" ht="20.149999999999999" customHeight="1" x14ac:dyDescent="0.3">
      <c r="A7" s="524" t="s">
        <v>282</v>
      </c>
      <c r="B7" s="587"/>
      <c r="C7" s="587"/>
      <c r="D7" s="587"/>
      <c r="E7" s="587"/>
      <c r="F7" s="587"/>
      <c r="G7" s="587"/>
      <c r="H7" s="518"/>
    </row>
    <row r="8" spans="1:13" s="1" customFormat="1" ht="20.149999999999999" customHeight="1" x14ac:dyDescent="0.3">
      <c r="A8" s="526" t="s">
        <v>283</v>
      </c>
      <c r="B8" s="526" t="s">
        <v>284</v>
      </c>
      <c r="C8" s="526"/>
      <c r="D8" s="526"/>
      <c r="E8" s="526" t="s">
        <v>285</v>
      </c>
      <c r="F8" s="526"/>
      <c r="G8" s="526"/>
      <c r="H8" s="559" t="s">
        <v>150</v>
      </c>
    </row>
    <row r="9" spans="1:13" s="1" customFormat="1" ht="20.149999999999999" customHeight="1" x14ac:dyDescent="0.3">
      <c r="A9" s="588"/>
      <c r="B9" s="378" t="s">
        <v>286</v>
      </c>
      <c r="C9" s="378" t="s">
        <v>287</v>
      </c>
      <c r="D9" s="378" t="s">
        <v>150</v>
      </c>
      <c r="E9" s="378" t="s">
        <v>286</v>
      </c>
      <c r="F9" s="378" t="s">
        <v>287</v>
      </c>
      <c r="G9" s="378" t="s">
        <v>150</v>
      </c>
      <c r="H9" s="560"/>
    </row>
    <row r="10" spans="1:13" s="1" customFormat="1" ht="20.149999999999999" customHeight="1" x14ac:dyDescent="0.3">
      <c r="A10" s="21" t="s">
        <v>142</v>
      </c>
      <c r="B10" s="13">
        <v>206500</v>
      </c>
      <c r="C10" s="13">
        <v>58002</v>
      </c>
      <c r="D10" s="14">
        <f>B10+C10</f>
        <v>264502</v>
      </c>
      <c r="E10" s="13">
        <v>73902</v>
      </c>
      <c r="F10" s="13">
        <v>19763</v>
      </c>
      <c r="G10" s="18">
        <f>E10+F10</f>
        <v>93665</v>
      </c>
      <c r="H10" s="20">
        <f>SUM(D10,G10)</f>
        <v>358167</v>
      </c>
    </row>
    <row r="11" spans="1:13" s="1" customFormat="1" ht="20.149999999999999" customHeight="1" x14ac:dyDescent="0.3">
      <c r="A11" s="379" t="s">
        <v>288</v>
      </c>
      <c r="B11" s="13">
        <v>0</v>
      </c>
      <c r="C11" s="13">
        <v>0</v>
      </c>
      <c r="D11" s="14">
        <f>B11+C11</f>
        <v>0</v>
      </c>
      <c r="E11" s="13">
        <v>0</v>
      </c>
      <c r="F11" s="13">
        <v>0</v>
      </c>
      <c r="G11" s="18">
        <f>E11+F11</f>
        <v>0</v>
      </c>
      <c r="H11" s="20">
        <f>SUM(D11,G11)</f>
        <v>0</v>
      </c>
    </row>
    <row r="12" spans="1:13" s="1" customFormat="1" ht="20.149999999999999" customHeight="1" x14ac:dyDescent="0.3">
      <c r="A12" s="379" t="s">
        <v>289</v>
      </c>
      <c r="B12" s="111">
        <v>0</v>
      </c>
      <c r="C12" s="111">
        <v>0</v>
      </c>
      <c r="D12" s="112">
        <f t="shared" ref="D12:D25" si="0">B12+C12</f>
        <v>0</v>
      </c>
      <c r="E12" s="111">
        <v>830621</v>
      </c>
      <c r="F12" s="111">
        <v>19920</v>
      </c>
      <c r="G12" s="19">
        <f t="shared" ref="G12:G25" si="1">E12+F12</f>
        <v>850541</v>
      </c>
      <c r="H12" s="20">
        <f t="shared" ref="H12:H25" si="2">SUM(D12,G12)</f>
        <v>850541</v>
      </c>
    </row>
    <row r="13" spans="1:13" s="1" customFormat="1" ht="20.149999999999999" customHeight="1" x14ac:dyDescent="0.3">
      <c r="A13" s="379" t="s">
        <v>290</v>
      </c>
      <c r="B13" s="111">
        <v>0</v>
      </c>
      <c r="C13" s="111">
        <v>0</v>
      </c>
      <c r="D13" s="112">
        <f t="shared" si="0"/>
        <v>0</v>
      </c>
      <c r="E13" s="111">
        <v>38052</v>
      </c>
      <c r="F13" s="111">
        <v>0</v>
      </c>
      <c r="G13" s="19">
        <f t="shared" si="1"/>
        <v>38052</v>
      </c>
      <c r="H13" s="20">
        <f t="shared" si="2"/>
        <v>38052</v>
      </c>
    </row>
    <row r="14" spans="1:13" s="1" customFormat="1" ht="20.149999999999999" customHeight="1" x14ac:dyDescent="0.3">
      <c r="A14" s="28" t="s">
        <v>291</v>
      </c>
      <c r="B14" s="113"/>
      <c r="C14" s="113"/>
      <c r="D14" s="113"/>
      <c r="E14" s="113"/>
      <c r="F14" s="113"/>
      <c r="G14" s="29"/>
      <c r="H14" s="29"/>
    </row>
    <row r="15" spans="1:13" s="1" customFormat="1" ht="20.149999999999999" customHeight="1" x14ac:dyDescent="0.3">
      <c r="A15" s="379" t="s">
        <v>292</v>
      </c>
      <c r="B15" s="111">
        <v>0</v>
      </c>
      <c r="C15" s="111">
        <v>0</v>
      </c>
      <c r="D15" s="112">
        <f t="shared" si="0"/>
        <v>0</v>
      </c>
      <c r="E15" s="111">
        <v>0</v>
      </c>
      <c r="F15" s="111">
        <v>0</v>
      </c>
      <c r="G15" s="19">
        <f t="shared" si="1"/>
        <v>0</v>
      </c>
      <c r="H15" s="20">
        <f t="shared" si="2"/>
        <v>0</v>
      </c>
    </row>
    <row r="16" spans="1:13" s="1" customFormat="1" ht="20.149999999999999" customHeight="1" x14ac:dyDescent="0.3">
      <c r="A16" s="379" t="s">
        <v>293</v>
      </c>
      <c r="B16" s="113"/>
      <c r="C16" s="113"/>
      <c r="D16" s="113"/>
      <c r="E16" s="113"/>
      <c r="F16" s="113"/>
      <c r="G16" s="29"/>
      <c r="H16" s="29"/>
    </row>
    <row r="17" spans="1:8" s="1" customFormat="1" ht="20.149999999999999" customHeight="1" x14ac:dyDescent="0.3">
      <c r="A17" s="379" t="s">
        <v>294</v>
      </c>
      <c r="B17" s="111">
        <v>0</v>
      </c>
      <c r="C17" s="111">
        <v>0</v>
      </c>
      <c r="D17" s="112">
        <f t="shared" si="0"/>
        <v>0</v>
      </c>
      <c r="E17" s="111">
        <v>0</v>
      </c>
      <c r="F17" s="111">
        <v>0</v>
      </c>
      <c r="G17" s="19">
        <f t="shared" si="1"/>
        <v>0</v>
      </c>
      <c r="H17" s="20">
        <f t="shared" si="2"/>
        <v>0</v>
      </c>
    </row>
    <row r="18" spans="1:8" s="1" customFormat="1" ht="20.149999999999999" customHeight="1" x14ac:dyDescent="0.3">
      <c r="A18" s="379" t="s">
        <v>295</v>
      </c>
      <c r="B18" s="111">
        <v>0</v>
      </c>
      <c r="C18" s="111">
        <v>0</v>
      </c>
      <c r="D18" s="112">
        <f t="shared" si="0"/>
        <v>0</v>
      </c>
      <c r="E18" s="111">
        <v>0</v>
      </c>
      <c r="F18" s="111">
        <v>0</v>
      </c>
      <c r="G18" s="19">
        <f t="shared" si="1"/>
        <v>0</v>
      </c>
      <c r="H18" s="20">
        <f t="shared" si="2"/>
        <v>0</v>
      </c>
    </row>
    <row r="19" spans="1:8" s="1" customFormat="1" ht="20.149999999999999" customHeight="1" x14ac:dyDescent="0.3">
      <c r="A19" s="379" t="s">
        <v>296</v>
      </c>
      <c r="B19" s="111">
        <v>0</v>
      </c>
      <c r="C19" s="111">
        <v>0</v>
      </c>
      <c r="D19" s="112">
        <f t="shared" si="0"/>
        <v>0</v>
      </c>
      <c r="E19" s="111">
        <v>0</v>
      </c>
      <c r="F19" s="111">
        <v>0</v>
      </c>
      <c r="G19" s="19">
        <f t="shared" si="1"/>
        <v>0</v>
      </c>
      <c r="H19" s="20">
        <f t="shared" si="2"/>
        <v>0</v>
      </c>
    </row>
    <row r="20" spans="1:8" s="1" customFormat="1" ht="20.149999999999999" customHeight="1" x14ac:dyDescent="0.3">
      <c r="A20" s="379" t="s">
        <v>297</v>
      </c>
      <c r="B20" s="111">
        <v>0</v>
      </c>
      <c r="C20" s="111">
        <v>0</v>
      </c>
      <c r="D20" s="112">
        <f t="shared" si="0"/>
        <v>0</v>
      </c>
      <c r="E20" s="111">
        <v>16913</v>
      </c>
      <c r="F20" s="111">
        <v>0</v>
      </c>
      <c r="G20" s="19">
        <f t="shared" si="1"/>
        <v>16913</v>
      </c>
      <c r="H20" s="20">
        <f t="shared" si="2"/>
        <v>16913</v>
      </c>
    </row>
    <row r="21" spans="1:8" s="1" customFormat="1" ht="20.149999999999999" customHeight="1" x14ac:dyDescent="0.3">
      <c r="A21" s="379" t="s">
        <v>298</v>
      </c>
      <c r="B21" s="111">
        <v>32682</v>
      </c>
      <c r="C21" s="111">
        <v>0</v>
      </c>
      <c r="D21" s="112">
        <f t="shared" si="0"/>
        <v>32682</v>
      </c>
      <c r="E21" s="111">
        <v>0</v>
      </c>
      <c r="F21" s="111">
        <v>0</v>
      </c>
      <c r="G21" s="19">
        <f t="shared" si="1"/>
        <v>0</v>
      </c>
      <c r="H21" s="20">
        <f t="shared" si="2"/>
        <v>32682</v>
      </c>
    </row>
    <row r="22" spans="1:8" s="1" customFormat="1" ht="20.149999999999999" customHeight="1" x14ac:dyDescent="0.3">
      <c r="A22" s="379" t="s">
        <v>299</v>
      </c>
      <c r="B22" s="111">
        <v>0</v>
      </c>
      <c r="C22" s="111">
        <v>0</v>
      </c>
      <c r="D22" s="112">
        <f t="shared" si="0"/>
        <v>0</v>
      </c>
      <c r="E22" s="111">
        <v>0</v>
      </c>
      <c r="F22" s="111">
        <v>0</v>
      </c>
      <c r="G22" s="19">
        <f t="shared" si="1"/>
        <v>0</v>
      </c>
      <c r="H22" s="20">
        <f t="shared" si="2"/>
        <v>0</v>
      </c>
    </row>
    <row r="23" spans="1:8" s="1" customFormat="1" ht="20.149999999999999" customHeight="1" x14ac:dyDescent="0.3">
      <c r="A23" s="379" t="s">
        <v>300</v>
      </c>
      <c r="B23" s="111">
        <v>120156</v>
      </c>
      <c r="C23" s="111">
        <v>0</v>
      </c>
      <c r="D23" s="112">
        <f t="shared" si="0"/>
        <v>120156</v>
      </c>
      <c r="E23" s="111">
        <v>0</v>
      </c>
      <c r="F23" s="111">
        <v>0</v>
      </c>
      <c r="G23" s="19">
        <f t="shared" si="1"/>
        <v>0</v>
      </c>
      <c r="H23" s="20">
        <f t="shared" si="2"/>
        <v>120156</v>
      </c>
    </row>
    <row r="24" spans="1:8" s="1" customFormat="1" ht="20.149999999999999" customHeight="1" x14ac:dyDescent="0.3">
      <c r="A24" s="379" t="s">
        <v>301</v>
      </c>
      <c r="B24" s="111">
        <v>16341</v>
      </c>
      <c r="C24" s="111">
        <v>4520</v>
      </c>
      <c r="D24" s="112">
        <f t="shared" ref="D24" si="3">B24+C24</f>
        <v>20861</v>
      </c>
      <c r="E24" s="111">
        <v>9648</v>
      </c>
      <c r="F24" s="111">
        <v>0</v>
      </c>
      <c r="G24" s="19">
        <f t="shared" ref="G24" si="4">E24+F24</f>
        <v>9648</v>
      </c>
      <c r="H24" s="20">
        <f t="shared" ref="H24" si="5">SUM(D24,G24)</f>
        <v>30509</v>
      </c>
    </row>
    <row r="25" spans="1:8" s="1" customFormat="1" ht="20.149999999999999" customHeight="1" x14ac:dyDescent="0.3">
      <c r="A25" s="379" t="s">
        <v>302</v>
      </c>
      <c r="B25" s="111">
        <v>0</v>
      </c>
      <c r="C25" s="111">
        <v>0</v>
      </c>
      <c r="D25" s="112">
        <f t="shared" si="0"/>
        <v>0</v>
      </c>
      <c r="E25" s="111">
        <v>0</v>
      </c>
      <c r="F25" s="111">
        <v>16480</v>
      </c>
      <c r="G25" s="19">
        <f t="shared" si="1"/>
        <v>16480</v>
      </c>
      <c r="H25" s="20">
        <f t="shared" si="2"/>
        <v>16480</v>
      </c>
    </row>
    <row r="26" spans="1:8" s="1" customFormat="1" ht="20.149999999999999" customHeight="1" thickBot="1" x14ac:dyDescent="0.35">
      <c r="A26" s="16" t="s">
        <v>150</v>
      </c>
      <c r="B26" s="17">
        <f>SUM(B10:B25)</f>
        <v>375679</v>
      </c>
      <c r="C26" s="17">
        <f t="shared" ref="C26:H26" si="6">SUM(C10:C25)</f>
        <v>62522</v>
      </c>
      <c r="D26" s="17">
        <f t="shared" si="6"/>
        <v>438201</v>
      </c>
      <c r="E26" s="17">
        <f t="shared" si="6"/>
        <v>969136</v>
      </c>
      <c r="F26" s="17">
        <f t="shared" si="6"/>
        <v>56163</v>
      </c>
      <c r="G26" s="17">
        <f t="shared" si="6"/>
        <v>1025299</v>
      </c>
      <c r="H26" s="17">
        <f t="shared" si="6"/>
        <v>1463500</v>
      </c>
    </row>
    <row r="27" spans="1:8" s="1" customFormat="1" ht="20.149999999999999" customHeight="1" thickBot="1" x14ac:dyDescent="0.35">
      <c r="A27" s="522"/>
      <c r="B27" s="523"/>
      <c r="C27" s="523"/>
      <c r="D27" s="523"/>
      <c r="E27" s="523"/>
      <c r="F27" s="523"/>
      <c r="G27" s="523"/>
      <c r="H27" s="523"/>
    </row>
    <row r="28" spans="1:8" s="1" customFormat="1" ht="20.149999999999999" customHeight="1" x14ac:dyDescent="0.3">
      <c r="A28" s="519" t="s">
        <v>303</v>
      </c>
      <c r="B28" s="520"/>
      <c r="C28" s="520"/>
      <c r="D28" s="520"/>
      <c r="E28" s="520"/>
      <c r="F28" s="520"/>
      <c r="G28" s="520"/>
      <c r="H28" s="521"/>
    </row>
    <row r="29" spans="1:8" s="1" customFormat="1" ht="20.149999999999999" customHeight="1" x14ac:dyDescent="0.3">
      <c r="A29" s="527" t="s">
        <v>283</v>
      </c>
      <c r="B29" s="526" t="s">
        <v>284</v>
      </c>
      <c r="C29" s="526"/>
      <c r="D29" s="526"/>
      <c r="E29" s="526" t="s">
        <v>285</v>
      </c>
      <c r="F29" s="526"/>
      <c r="G29" s="526"/>
      <c r="H29" s="518" t="s">
        <v>150</v>
      </c>
    </row>
    <row r="30" spans="1:8" s="1" customFormat="1" ht="20.149999999999999" customHeight="1" thickBot="1" x14ac:dyDescent="0.35">
      <c r="A30" s="528"/>
      <c r="B30" s="378" t="s">
        <v>286</v>
      </c>
      <c r="C30" s="378" t="s">
        <v>287</v>
      </c>
      <c r="D30" s="378" t="s">
        <v>150</v>
      </c>
      <c r="E30" s="378" t="s">
        <v>286</v>
      </c>
      <c r="F30" s="378" t="s">
        <v>287</v>
      </c>
      <c r="G30" s="378" t="s">
        <v>150</v>
      </c>
      <c r="H30" s="561"/>
    </row>
    <row r="31" spans="1:8" s="1" customFormat="1" ht="20.149999999999999" customHeight="1" x14ac:dyDescent="0.3">
      <c r="A31" s="21" t="s">
        <v>142</v>
      </c>
      <c r="B31" s="13">
        <v>342500</v>
      </c>
      <c r="C31" s="13">
        <v>76070</v>
      </c>
      <c r="D31" s="14">
        <f>B31+C31</f>
        <v>418570</v>
      </c>
      <c r="E31" s="13">
        <v>27845</v>
      </c>
      <c r="F31" s="13">
        <v>11470</v>
      </c>
      <c r="G31" s="18">
        <f>E31+F31</f>
        <v>39315</v>
      </c>
      <c r="H31" s="20">
        <f>SUM(D31,G31)</f>
        <v>457885</v>
      </c>
    </row>
    <row r="32" spans="1:8" s="1" customFormat="1" ht="20.149999999999999" customHeight="1" x14ac:dyDescent="0.3">
      <c r="A32" s="379" t="s">
        <v>288</v>
      </c>
      <c r="B32" s="13">
        <v>0</v>
      </c>
      <c r="C32" s="13">
        <v>0</v>
      </c>
      <c r="D32" s="14">
        <f>B32+C32</f>
        <v>0</v>
      </c>
      <c r="E32" s="13">
        <v>0</v>
      </c>
      <c r="F32" s="13">
        <v>0</v>
      </c>
      <c r="G32" s="18">
        <f>E32+F32</f>
        <v>0</v>
      </c>
      <c r="H32" s="20">
        <f>SUM(D32,G32)</f>
        <v>0</v>
      </c>
    </row>
    <row r="33" spans="1:8" s="1" customFormat="1" ht="20.149999999999999" customHeight="1" x14ac:dyDescent="0.3">
      <c r="A33" s="379" t="s">
        <v>289</v>
      </c>
      <c r="B33" s="111">
        <v>0</v>
      </c>
      <c r="C33" s="111">
        <v>0</v>
      </c>
      <c r="D33" s="112">
        <f t="shared" ref="D33:D34" si="7">B33+C33</f>
        <v>0</v>
      </c>
      <c r="E33" s="111">
        <v>920700</v>
      </c>
      <c r="F33" s="111">
        <v>0</v>
      </c>
      <c r="G33" s="19">
        <f t="shared" ref="G33:G34" si="8">E33+F33</f>
        <v>920700</v>
      </c>
      <c r="H33" s="20">
        <f t="shared" ref="H33:H34" si="9">SUM(D33,G33)</f>
        <v>920700</v>
      </c>
    </row>
    <row r="34" spans="1:8" s="1" customFormat="1" ht="20.149999999999999" customHeight="1" x14ac:dyDescent="0.3">
      <c r="A34" s="379" t="s">
        <v>290</v>
      </c>
      <c r="B34" s="111">
        <v>0</v>
      </c>
      <c r="C34" s="111">
        <v>0</v>
      </c>
      <c r="D34" s="112">
        <f t="shared" si="7"/>
        <v>0</v>
      </c>
      <c r="E34" s="111">
        <v>19800</v>
      </c>
      <c r="F34" s="111">
        <v>0</v>
      </c>
      <c r="G34" s="19">
        <f t="shared" si="8"/>
        <v>19800</v>
      </c>
      <c r="H34" s="20">
        <f t="shared" si="9"/>
        <v>19800</v>
      </c>
    </row>
    <row r="35" spans="1:8" s="1" customFormat="1" ht="20.149999999999999" customHeight="1" x14ac:dyDescent="0.3">
      <c r="A35" s="28" t="s">
        <v>291</v>
      </c>
      <c r="B35" s="113"/>
      <c r="C35" s="113"/>
      <c r="D35" s="113"/>
      <c r="E35" s="113"/>
      <c r="F35" s="113"/>
      <c r="G35" s="29"/>
      <c r="H35" s="29"/>
    </row>
    <row r="36" spans="1:8" s="1" customFormat="1" ht="20.149999999999999" customHeight="1" x14ac:dyDescent="0.3">
      <c r="A36" s="379" t="s">
        <v>292</v>
      </c>
      <c r="B36" s="111">
        <v>0</v>
      </c>
      <c r="C36" s="111">
        <v>0</v>
      </c>
      <c r="D36" s="112">
        <f t="shared" ref="D36" si="10">B36+C36</f>
        <v>0</v>
      </c>
      <c r="E36" s="111">
        <v>0</v>
      </c>
      <c r="F36" s="111">
        <v>0</v>
      </c>
      <c r="G36" s="19">
        <f t="shared" ref="G36" si="11">E36+F36</f>
        <v>0</v>
      </c>
      <c r="H36" s="20">
        <f t="shared" ref="H36" si="12">SUM(D36,G36)</f>
        <v>0</v>
      </c>
    </row>
    <row r="37" spans="1:8" s="1" customFormat="1" ht="20.149999999999999" customHeight="1" x14ac:dyDescent="0.3">
      <c r="A37" s="379" t="s">
        <v>293</v>
      </c>
      <c r="B37" s="111">
        <v>0</v>
      </c>
      <c r="C37" s="111">
        <v>0</v>
      </c>
      <c r="D37" s="112">
        <f t="shared" ref="D37" si="13">B37+C37</f>
        <v>0</v>
      </c>
      <c r="E37" s="111">
        <v>0</v>
      </c>
      <c r="F37" s="111">
        <v>0</v>
      </c>
      <c r="G37" s="19">
        <f t="shared" ref="G37" si="14">E37+F37</f>
        <v>0</v>
      </c>
      <c r="H37" s="20">
        <f t="shared" ref="H37" si="15">SUM(D37,G37)</f>
        <v>0</v>
      </c>
    </row>
    <row r="38" spans="1:8" s="1" customFormat="1" ht="20.149999999999999" customHeight="1" x14ac:dyDescent="0.3">
      <c r="A38" s="379" t="s">
        <v>294</v>
      </c>
      <c r="B38" s="111">
        <v>0</v>
      </c>
      <c r="C38" s="111">
        <v>0</v>
      </c>
      <c r="D38" s="112">
        <f t="shared" ref="D38:D46" si="16">B38+C38</f>
        <v>0</v>
      </c>
      <c r="E38" s="111">
        <v>0</v>
      </c>
      <c r="F38" s="111">
        <v>0</v>
      </c>
      <c r="G38" s="19">
        <f t="shared" ref="G38:G46" si="17">E38+F38</f>
        <v>0</v>
      </c>
      <c r="H38" s="20">
        <f t="shared" ref="H38:H46" si="18">SUM(D38,G38)</f>
        <v>0</v>
      </c>
    </row>
    <row r="39" spans="1:8" s="1" customFormat="1" ht="20.149999999999999" customHeight="1" x14ac:dyDescent="0.3">
      <c r="A39" s="379" t="s">
        <v>295</v>
      </c>
      <c r="B39" s="111">
        <v>0</v>
      </c>
      <c r="C39" s="111">
        <v>0</v>
      </c>
      <c r="D39" s="112">
        <f t="shared" si="16"/>
        <v>0</v>
      </c>
      <c r="E39" s="111">
        <v>0</v>
      </c>
      <c r="F39" s="111">
        <v>0</v>
      </c>
      <c r="G39" s="19">
        <f t="shared" si="17"/>
        <v>0</v>
      </c>
      <c r="H39" s="20">
        <f t="shared" si="18"/>
        <v>0</v>
      </c>
    </row>
    <row r="40" spans="1:8" s="1" customFormat="1" ht="20.149999999999999" customHeight="1" x14ac:dyDescent="0.3">
      <c r="A40" s="379" t="s">
        <v>296</v>
      </c>
      <c r="B40" s="111">
        <v>0</v>
      </c>
      <c r="C40" s="111">
        <v>0</v>
      </c>
      <c r="D40" s="112">
        <f t="shared" si="16"/>
        <v>0</v>
      </c>
      <c r="E40" s="111">
        <v>0</v>
      </c>
      <c r="F40" s="111">
        <v>0</v>
      </c>
      <c r="G40" s="19">
        <f t="shared" si="17"/>
        <v>0</v>
      </c>
      <c r="H40" s="20">
        <f t="shared" si="18"/>
        <v>0</v>
      </c>
    </row>
    <row r="41" spans="1:8" s="1" customFormat="1" ht="20.149999999999999" customHeight="1" x14ac:dyDescent="0.3">
      <c r="A41" s="379" t="s">
        <v>297</v>
      </c>
      <c r="B41" s="111">
        <v>0</v>
      </c>
      <c r="C41" s="111">
        <v>0</v>
      </c>
      <c r="D41" s="112">
        <f t="shared" si="16"/>
        <v>0</v>
      </c>
      <c r="E41" s="111">
        <v>0</v>
      </c>
      <c r="F41" s="111">
        <v>0</v>
      </c>
      <c r="G41" s="19">
        <f t="shared" si="17"/>
        <v>0</v>
      </c>
      <c r="H41" s="20">
        <f t="shared" si="18"/>
        <v>0</v>
      </c>
    </row>
    <row r="42" spans="1:8" s="1" customFormat="1" ht="20.149999999999999" customHeight="1" x14ac:dyDescent="0.3">
      <c r="A42" s="379" t="s">
        <v>298</v>
      </c>
      <c r="B42" s="111">
        <v>42885</v>
      </c>
      <c r="C42" s="111">
        <v>0</v>
      </c>
      <c r="D42" s="112">
        <f t="shared" si="16"/>
        <v>42885</v>
      </c>
      <c r="E42" s="111">
        <v>0</v>
      </c>
      <c r="F42" s="111">
        <v>0</v>
      </c>
      <c r="G42" s="19">
        <f t="shared" si="17"/>
        <v>0</v>
      </c>
      <c r="H42" s="20">
        <f t="shared" si="18"/>
        <v>42885</v>
      </c>
    </row>
    <row r="43" spans="1:8" s="1" customFormat="1" ht="20.149999999999999" customHeight="1" x14ac:dyDescent="0.3">
      <c r="A43" s="379" t="s">
        <v>299</v>
      </c>
      <c r="B43" s="111">
        <v>0</v>
      </c>
      <c r="C43" s="111">
        <v>0</v>
      </c>
      <c r="D43" s="112">
        <f t="shared" si="16"/>
        <v>0</v>
      </c>
      <c r="E43" s="111">
        <v>0</v>
      </c>
      <c r="F43" s="111">
        <v>0</v>
      </c>
      <c r="G43" s="19">
        <f t="shared" si="17"/>
        <v>0</v>
      </c>
      <c r="H43" s="20">
        <f t="shared" si="18"/>
        <v>0</v>
      </c>
    </row>
    <row r="44" spans="1:8" s="1" customFormat="1" ht="20.149999999999999" customHeight="1" x14ac:dyDescent="0.3">
      <c r="A44" s="379" t="s">
        <v>300</v>
      </c>
      <c r="B44" s="111">
        <v>90301</v>
      </c>
      <c r="C44" s="111">
        <v>0</v>
      </c>
      <c r="D44" s="112">
        <f t="shared" si="16"/>
        <v>90301</v>
      </c>
      <c r="E44" s="111">
        <v>0</v>
      </c>
      <c r="F44" s="111">
        <v>0</v>
      </c>
      <c r="G44" s="19">
        <f t="shared" si="17"/>
        <v>0</v>
      </c>
      <c r="H44" s="20">
        <f t="shared" si="18"/>
        <v>90301</v>
      </c>
    </row>
    <row r="45" spans="1:8" s="1" customFormat="1" ht="20.149999999999999" customHeight="1" x14ac:dyDescent="0.3">
      <c r="A45" s="379" t="s">
        <v>301</v>
      </c>
      <c r="B45" s="111">
        <v>10536</v>
      </c>
      <c r="C45" s="111">
        <v>0</v>
      </c>
      <c r="D45" s="112">
        <f t="shared" si="16"/>
        <v>10536</v>
      </c>
      <c r="E45" s="111">
        <v>2517</v>
      </c>
      <c r="F45" s="111">
        <v>0</v>
      </c>
      <c r="G45" s="19">
        <f t="shared" si="17"/>
        <v>2517</v>
      </c>
      <c r="H45" s="20">
        <f t="shared" si="18"/>
        <v>13053</v>
      </c>
    </row>
    <row r="46" spans="1:8" s="1" customFormat="1" ht="20.149999999999999" customHeight="1" x14ac:dyDescent="0.3">
      <c r="A46" s="379" t="s">
        <v>302</v>
      </c>
      <c r="B46" s="111">
        <v>0</v>
      </c>
      <c r="C46" s="111">
        <v>0</v>
      </c>
      <c r="D46" s="112">
        <f t="shared" si="16"/>
        <v>0</v>
      </c>
      <c r="E46" s="111">
        <v>0</v>
      </c>
      <c r="F46" s="111">
        <v>0</v>
      </c>
      <c r="G46" s="19">
        <f t="shared" si="17"/>
        <v>0</v>
      </c>
      <c r="H46" s="20">
        <f t="shared" si="18"/>
        <v>0</v>
      </c>
    </row>
    <row r="47" spans="1:8" s="1" customFormat="1" ht="20.149999999999999" customHeight="1" thickBot="1" x14ac:dyDescent="0.35">
      <c r="A47" s="16" t="s">
        <v>150</v>
      </c>
      <c r="B47" s="17">
        <f>SUM(B31:B46)</f>
        <v>486222</v>
      </c>
      <c r="C47" s="17">
        <f t="shared" ref="C47" si="19">SUM(C31:C46)</f>
        <v>76070</v>
      </c>
      <c r="D47" s="17">
        <f t="shared" ref="D47" si="20">SUM(D31:D46)</f>
        <v>562292</v>
      </c>
      <c r="E47" s="17">
        <f t="shared" ref="E47" si="21">SUM(E31:E46)</f>
        <v>970862</v>
      </c>
      <c r="F47" s="17">
        <f t="shared" ref="F47" si="22">SUM(F31:F46)</f>
        <v>11470</v>
      </c>
      <c r="G47" s="17">
        <f t="shared" ref="G47" si="23">SUM(G31:G46)</f>
        <v>982332</v>
      </c>
      <c r="H47" s="17">
        <f t="shared" ref="H47" si="24">SUM(H31:H46)</f>
        <v>1544624</v>
      </c>
    </row>
    <row r="48" spans="1:8" s="1" customFormat="1" ht="20.149999999999999" customHeight="1" thickBot="1" x14ac:dyDescent="0.35">
      <c r="A48" s="522"/>
      <c r="B48" s="523"/>
      <c r="C48" s="523"/>
      <c r="D48" s="523"/>
      <c r="E48" s="523"/>
      <c r="F48" s="523"/>
      <c r="G48" s="523"/>
      <c r="H48" s="523"/>
    </row>
    <row r="49" spans="1:8" s="1" customFormat="1" ht="20.149999999999999" customHeight="1" x14ac:dyDescent="0.3">
      <c r="A49" s="519" t="s">
        <v>304</v>
      </c>
      <c r="B49" s="520"/>
      <c r="C49" s="520"/>
      <c r="D49" s="520"/>
      <c r="E49" s="520"/>
      <c r="F49" s="520"/>
      <c r="G49" s="520"/>
      <c r="H49" s="521"/>
    </row>
    <row r="50" spans="1:8" s="1" customFormat="1" ht="20.149999999999999" customHeight="1" x14ac:dyDescent="0.3">
      <c r="A50" s="527" t="s">
        <v>283</v>
      </c>
      <c r="B50" s="526" t="s">
        <v>284</v>
      </c>
      <c r="C50" s="526"/>
      <c r="D50" s="526"/>
      <c r="E50" s="526" t="s">
        <v>285</v>
      </c>
      <c r="F50" s="526"/>
      <c r="G50" s="526"/>
      <c r="H50" s="518" t="s">
        <v>150</v>
      </c>
    </row>
    <row r="51" spans="1:8" s="1" customFormat="1" ht="20.149999999999999" customHeight="1" thickBot="1" x14ac:dyDescent="0.35">
      <c r="A51" s="528"/>
      <c r="B51" s="378" t="s">
        <v>286</v>
      </c>
      <c r="C51" s="378" t="s">
        <v>287</v>
      </c>
      <c r="D51" s="378" t="s">
        <v>150</v>
      </c>
      <c r="E51" s="378" t="s">
        <v>286</v>
      </c>
      <c r="F51" s="378" t="s">
        <v>287</v>
      </c>
      <c r="G51" s="378" t="s">
        <v>150</v>
      </c>
      <c r="H51" s="518"/>
    </row>
    <row r="52" spans="1:8" s="1" customFormat="1" ht="20.149999999999999" customHeight="1" x14ac:dyDescent="0.3">
      <c r="A52" s="21" t="s">
        <v>142</v>
      </c>
      <c r="B52" s="13">
        <v>356200</v>
      </c>
      <c r="C52" s="13">
        <v>79113</v>
      </c>
      <c r="D52" s="14">
        <f>B52+C52</f>
        <v>435313</v>
      </c>
      <c r="E52" s="13">
        <v>28959</v>
      </c>
      <c r="F52" s="13">
        <v>11929</v>
      </c>
      <c r="G52" s="18">
        <f>E52+F52</f>
        <v>40888</v>
      </c>
      <c r="H52" s="20">
        <f>SUM(D52,G52)</f>
        <v>476201</v>
      </c>
    </row>
    <row r="53" spans="1:8" s="1" customFormat="1" ht="20.149999999999999" customHeight="1" x14ac:dyDescent="0.3">
      <c r="A53" s="379" t="s">
        <v>288</v>
      </c>
      <c r="B53" s="13">
        <v>0</v>
      </c>
      <c r="C53" s="13">
        <v>0</v>
      </c>
      <c r="D53" s="14">
        <f>B53+C53</f>
        <v>0</v>
      </c>
      <c r="E53" s="13">
        <v>0</v>
      </c>
      <c r="F53" s="13">
        <v>0</v>
      </c>
      <c r="G53" s="18">
        <f>E53+F53</f>
        <v>0</v>
      </c>
      <c r="H53" s="20">
        <f>SUM(D53,G53)</f>
        <v>0</v>
      </c>
    </row>
    <row r="54" spans="1:8" s="1" customFormat="1" ht="20.149999999999999" customHeight="1" x14ac:dyDescent="0.3">
      <c r="A54" s="379" t="s">
        <v>289</v>
      </c>
      <c r="B54" s="111">
        <v>0</v>
      </c>
      <c r="C54" s="111">
        <v>0</v>
      </c>
      <c r="D54" s="112">
        <f t="shared" ref="D54:D55" si="25">B54+C54</f>
        <v>0</v>
      </c>
      <c r="E54" s="111">
        <v>957528</v>
      </c>
      <c r="F54" s="111">
        <v>0</v>
      </c>
      <c r="G54" s="19">
        <f t="shared" ref="G54:G55" si="26">E54+F54</f>
        <v>957528</v>
      </c>
      <c r="H54" s="20">
        <f t="shared" ref="H54:H55" si="27">SUM(D54,G54)</f>
        <v>957528</v>
      </c>
    </row>
    <row r="55" spans="1:8" s="1" customFormat="1" ht="20.149999999999999" customHeight="1" x14ac:dyDescent="0.3">
      <c r="A55" s="379" t="s">
        <v>290</v>
      </c>
      <c r="B55" s="111">
        <v>0</v>
      </c>
      <c r="C55" s="111">
        <v>0</v>
      </c>
      <c r="D55" s="112">
        <f t="shared" si="25"/>
        <v>0</v>
      </c>
      <c r="E55" s="111">
        <v>20592</v>
      </c>
      <c r="F55" s="111">
        <v>0</v>
      </c>
      <c r="G55" s="19">
        <f t="shared" si="26"/>
        <v>20592</v>
      </c>
      <c r="H55" s="20">
        <f t="shared" si="27"/>
        <v>20592</v>
      </c>
    </row>
    <row r="56" spans="1:8" s="1" customFormat="1" ht="20.149999999999999" customHeight="1" x14ac:dyDescent="0.3">
      <c r="A56" s="28" t="s">
        <v>291</v>
      </c>
      <c r="B56" s="111">
        <v>0</v>
      </c>
      <c r="C56" s="111">
        <v>0</v>
      </c>
      <c r="D56" s="112">
        <f t="shared" ref="D56" si="28">B56+C56</f>
        <v>0</v>
      </c>
      <c r="E56" s="111">
        <v>0</v>
      </c>
      <c r="F56" s="111">
        <v>0</v>
      </c>
      <c r="G56" s="19">
        <f t="shared" ref="G56" si="29">E56+F56</f>
        <v>0</v>
      </c>
      <c r="H56" s="20">
        <f t="shared" ref="H56" si="30">SUM(D56,G56)</f>
        <v>0</v>
      </c>
    </row>
    <row r="57" spans="1:8" s="1" customFormat="1" ht="20.149999999999999" customHeight="1" x14ac:dyDescent="0.3">
      <c r="A57" s="379" t="s">
        <v>292</v>
      </c>
      <c r="B57" s="111">
        <v>0</v>
      </c>
      <c r="C57" s="111">
        <v>0</v>
      </c>
      <c r="D57" s="112">
        <f t="shared" ref="D57:D67" si="31">B57+C57</f>
        <v>0</v>
      </c>
      <c r="E57" s="111">
        <v>0</v>
      </c>
      <c r="F57" s="111">
        <v>0</v>
      </c>
      <c r="G57" s="19">
        <f t="shared" ref="G57:G67" si="32">E57+F57</f>
        <v>0</v>
      </c>
      <c r="H57" s="20">
        <f t="shared" ref="H57:H67" si="33">SUM(D57,G57)</f>
        <v>0</v>
      </c>
    </row>
    <row r="58" spans="1:8" s="1" customFormat="1" ht="20.149999999999999" customHeight="1" x14ac:dyDescent="0.3">
      <c r="A58" s="379" t="s">
        <v>293</v>
      </c>
      <c r="B58" s="111">
        <v>0</v>
      </c>
      <c r="C58" s="111">
        <v>0</v>
      </c>
      <c r="D58" s="112">
        <f t="shared" si="31"/>
        <v>0</v>
      </c>
      <c r="E58" s="111">
        <v>0</v>
      </c>
      <c r="F58" s="111">
        <v>0</v>
      </c>
      <c r="G58" s="19">
        <f t="shared" si="32"/>
        <v>0</v>
      </c>
      <c r="H58" s="20">
        <f t="shared" si="33"/>
        <v>0</v>
      </c>
    </row>
    <row r="59" spans="1:8" s="1" customFormat="1" ht="20.149999999999999" customHeight="1" x14ac:dyDescent="0.3">
      <c r="A59" s="379" t="s">
        <v>294</v>
      </c>
      <c r="B59" s="111">
        <v>0</v>
      </c>
      <c r="C59" s="111">
        <v>0</v>
      </c>
      <c r="D59" s="112">
        <f t="shared" si="31"/>
        <v>0</v>
      </c>
      <c r="E59" s="111">
        <v>0</v>
      </c>
      <c r="F59" s="111">
        <v>0</v>
      </c>
      <c r="G59" s="19">
        <f t="shared" si="32"/>
        <v>0</v>
      </c>
      <c r="H59" s="20">
        <f t="shared" si="33"/>
        <v>0</v>
      </c>
    </row>
    <row r="60" spans="1:8" s="1" customFormat="1" ht="20.149999999999999" customHeight="1" x14ac:dyDescent="0.3">
      <c r="A60" s="379" t="s">
        <v>295</v>
      </c>
      <c r="B60" s="111">
        <v>0</v>
      </c>
      <c r="C60" s="111">
        <v>0</v>
      </c>
      <c r="D60" s="112">
        <f t="shared" si="31"/>
        <v>0</v>
      </c>
      <c r="E60" s="111">
        <v>0</v>
      </c>
      <c r="F60" s="111">
        <v>0</v>
      </c>
      <c r="G60" s="19">
        <f t="shared" si="32"/>
        <v>0</v>
      </c>
      <c r="H60" s="20">
        <f t="shared" si="33"/>
        <v>0</v>
      </c>
    </row>
    <row r="61" spans="1:8" s="1" customFormat="1" ht="20.149999999999999" customHeight="1" x14ac:dyDescent="0.3">
      <c r="A61" s="379" t="s">
        <v>296</v>
      </c>
      <c r="B61" s="111">
        <v>0</v>
      </c>
      <c r="C61" s="111">
        <v>0</v>
      </c>
      <c r="D61" s="112">
        <f t="shared" si="31"/>
        <v>0</v>
      </c>
      <c r="E61" s="111">
        <v>0</v>
      </c>
      <c r="F61" s="111">
        <v>0</v>
      </c>
      <c r="G61" s="19">
        <f t="shared" si="32"/>
        <v>0</v>
      </c>
      <c r="H61" s="20">
        <f t="shared" si="33"/>
        <v>0</v>
      </c>
    </row>
    <row r="62" spans="1:8" s="1" customFormat="1" ht="20.149999999999999" customHeight="1" x14ac:dyDescent="0.3">
      <c r="A62" s="379" t="s">
        <v>297</v>
      </c>
      <c r="B62" s="111">
        <v>0</v>
      </c>
      <c r="C62" s="111">
        <v>0</v>
      </c>
      <c r="D62" s="112">
        <f t="shared" si="31"/>
        <v>0</v>
      </c>
      <c r="E62" s="111">
        <v>0</v>
      </c>
      <c r="F62" s="111">
        <v>0</v>
      </c>
      <c r="G62" s="19">
        <f t="shared" si="32"/>
        <v>0</v>
      </c>
      <c r="H62" s="20">
        <f t="shared" si="33"/>
        <v>0</v>
      </c>
    </row>
    <row r="63" spans="1:8" s="1" customFormat="1" ht="20.149999999999999" customHeight="1" x14ac:dyDescent="0.3">
      <c r="A63" s="379" t="s">
        <v>298</v>
      </c>
      <c r="B63" s="111">
        <v>44600</v>
      </c>
      <c r="C63" s="111">
        <v>0</v>
      </c>
      <c r="D63" s="112">
        <f t="shared" si="31"/>
        <v>44600</v>
      </c>
      <c r="E63" s="111">
        <v>0</v>
      </c>
      <c r="F63" s="111">
        <v>0</v>
      </c>
      <c r="G63" s="19">
        <f t="shared" si="32"/>
        <v>0</v>
      </c>
      <c r="H63" s="20">
        <f t="shared" si="33"/>
        <v>44600</v>
      </c>
    </row>
    <row r="64" spans="1:8" s="1" customFormat="1" ht="20.149999999999999" customHeight="1" x14ac:dyDescent="0.3">
      <c r="A64" s="379" t="s">
        <v>299</v>
      </c>
      <c r="B64" s="111">
        <v>0</v>
      </c>
      <c r="C64" s="111">
        <v>0</v>
      </c>
      <c r="D64" s="112">
        <f t="shared" si="31"/>
        <v>0</v>
      </c>
      <c r="E64" s="111">
        <v>0</v>
      </c>
      <c r="F64" s="111">
        <v>0</v>
      </c>
      <c r="G64" s="19">
        <f t="shared" si="32"/>
        <v>0</v>
      </c>
      <c r="H64" s="20">
        <f t="shared" si="33"/>
        <v>0</v>
      </c>
    </row>
    <row r="65" spans="1:8" s="1" customFormat="1" ht="20.149999999999999" customHeight="1" x14ac:dyDescent="0.3">
      <c r="A65" s="379" t="s">
        <v>300</v>
      </c>
      <c r="B65" s="111">
        <v>93913</v>
      </c>
      <c r="C65" s="111">
        <v>0</v>
      </c>
      <c r="D65" s="112">
        <f t="shared" si="31"/>
        <v>93913</v>
      </c>
      <c r="E65" s="111">
        <v>0</v>
      </c>
      <c r="F65" s="111">
        <v>0</v>
      </c>
      <c r="G65" s="19">
        <f t="shared" si="32"/>
        <v>0</v>
      </c>
      <c r="H65" s="20">
        <f t="shared" si="33"/>
        <v>93913</v>
      </c>
    </row>
    <row r="66" spans="1:8" s="1" customFormat="1" ht="20.149999999999999" customHeight="1" x14ac:dyDescent="0.3">
      <c r="A66" s="379" t="s">
        <v>301</v>
      </c>
      <c r="B66" s="111">
        <v>10957</v>
      </c>
      <c r="C66" s="111">
        <v>0</v>
      </c>
      <c r="D66" s="112">
        <f t="shared" si="31"/>
        <v>10957</v>
      </c>
      <c r="E66" s="111">
        <v>2618</v>
      </c>
      <c r="F66" s="111">
        <v>0</v>
      </c>
      <c r="G66" s="19">
        <f t="shared" si="32"/>
        <v>2618</v>
      </c>
      <c r="H66" s="20">
        <f t="shared" si="33"/>
        <v>13575</v>
      </c>
    </row>
    <row r="67" spans="1:8" s="1" customFormat="1" ht="20.149999999999999" customHeight="1" x14ac:dyDescent="0.3">
      <c r="A67" s="379" t="s">
        <v>302</v>
      </c>
      <c r="B67" s="111">
        <v>0</v>
      </c>
      <c r="C67" s="111">
        <v>0</v>
      </c>
      <c r="D67" s="112">
        <f t="shared" si="31"/>
        <v>0</v>
      </c>
      <c r="E67" s="111">
        <v>0</v>
      </c>
      <c r="F67" s="111">
        <v>0</v>
      </c>
      <c r="G67" s="19">
        <f t="shared" si="32"/>
        <v>0</v>
      </c>
      <c r="H67" s="20">
        <f t="shared" si="33"/>
        <v>0</v>
      </c>
    </row>
    <row r="68" spans="1:8" s="1" customFormat="1" ht="20.149999999999999" customHeight="1" thickBot="1" x14ac:dyDescent="0.35">
      <c r="A68" s="16" t="s">
        <v>150</v>
      </c>
      <c r="B68" s="17">
        <f>SUM(B52:B67)</f>
        <v>505670</v>
      </c>
      <c r="C68" s="17">
        <f t="shared" ref="C68" si="34">SUM(C52:C67)</f>
        <v>79113</v>
      </c>
      <c r="D68" s="17">
        <f t="shared" ref="D68" si="35">SUM(D52:D67)</f>
        <v>584783</v>
      </c>
      <c r="E68" s="17">
        <f t="shared" ref="E68" si="36">SUM(E52:E67)</f>
        <v>1009697</v>
      </c>
      <c r="F68" s="17">
        <f t="shared" ref="F68" si="37">SUM(F52:F67)</f>
        <v>11929</v>
      </c>
      <c r="G68" s="17">
        <f t="shared" ref="G68" si="38">SUM(G52:G67)</f>
        <v>1021626</v>
      </c>
      <c r="H68" s="17">
        <f t="shared" ref="H68" si="39">SUM(H52:H67)</f>
        <v>1606409</v>
      </c>
    </row>
    <row r="69" spans="1:8" s="1" customFormat="1" ht="20.149999999999999" customHeight="1" thickBot="1" x14ac:dyDescent="0.35">
      <c r="A69" s="522"/>
      <c r="B69" s="523"/>
      <c r="C69" s="523"/>
      <c r="D69" s="523"/>
      <c r="E69" s="523"/>
      <c r="F69" s="523"/>
      <c r="G69" s="523"/>
      <c r="H69" s="523"/>
    </row>
    <row r="70" spans="1:8" s="1" customFormat="1" ht="20.149999999999999" customHeight="1" x14ac:dyDescent="0.3">
      <c r="A70" s="519" t="s">
        <v>305</v>
      </c>
      <c r="B70" s="520"/>
      <c r="C70" s="520"/>
      <c r="D70" s="520"/>
      <c r="E70" s="520"/>
      <c r="F70" s="520"/>
      <c r="G70" s="520"/>
      <c r="H70" s="521"/>
    </row>
    <row r="71" spans="1:8" s="1" customFormat="1" ht="20.149999999999999" customHeight="1" x14ac:dyDescent="0.3">
      <c r="A71" s="527" t="s">
        <v>283</v>
      </c>
      <c r="B71" s="526" t="s">
        <v>284</v>
      </c>
      <c r="C71" s="526"/>
      <c r="D71" s="526"/>
      <c r="E71" s="526" t="s">
        <v>285</v>
      </c>
      <c r="F71" s="526"/>
      <c r="G71" s="526"/>
      <c r="H71" s="518" t="s">
        <v>150</v>
      </c>
    </row>
    <row r="72" spans="1:8" s="1" customFormat="1" ht="20.149999999999999" customHeight="1" thickBot="1" x14ac:dyDescent="0.35">
      <c r="A72" s="528"/>
      <c r="B72" s="378" t="s">
        <v>286</v>
      </c>
      <c r="C72" s="378" t="s">
        <v>287</v>
      </c>
      <c r="D72" s="378" t="s">
        <v>150</v>
      </c>
      <c r="E72" s="378" t="s">
        <v>286</v>
      </c>
      <c r="F72" s="378" t="s">
        <v>287</v>
      </c>
      <c r="G72" s="378" t="s">
        <v>150</v>
      </c>
      <c r="H72" s="518"/>
    </row>
    <row r="73" spans="1:8" s="1" customFormat="1" ht="20.149999999999999" customHeight="1" x14ac:dyDescent="0.3">
      <c r="A73" s="21" t="s">
        <v>142</v>
      </c>
      <c r="B73" s="13">
        <v>370448</v>
      </c>
      <c r="C73" s="13">
        <v>82277</v>
      </c>
      <c r="D73" s="14">
        <f>B73+C73</f>
        <v>452725</v>
      </c>
      <c r="E73" s="13">
        <v>30117</v>
      </c>
      <c r="F73" s="13">
        <v>12406</v>
      </c>
      <c r="G73" s="18">
        <f>E73+F73</f>
        <v>42523</v>
      </c>
      <c r="H73" s="20">
        <f>SUM(D73,G73)</f>
        <v>495248</v>
      </c>
    </row>
    <row r="74" spans="1:8" s="1" customFormat="1" ht="20.149999999999999" customHeight="1" x14ac:dyDescent="0.3">
      <c r="A74" s="379" t="s">
        <v>288</v>
      </c>
      <c r="B74" s="13">
        <v>0</v>
      </c>
      <c r="C74" s="13">
        <v>0</v>
      </c>
      <c r="D74" s="14">
        <f>B74+C74</f>
        <v>0</v>
      </c>
      <c r="E74" s="13">
        <v>0</v>
      </c>
      <c r="F74" s="13">
        <v>0</v>
      </c>
      <c r="G74" s="18">
        <f>E74+F74</f>
        <v>0</v>
      </c>
      <c r="H74" s="20">
        <f>SUM(D74,G74)</f>
        <v>0</v>
      </c>
    </row>
    <row r="75" spans="1:8" s="1" customFormat="1" ht="20.149999999999999" customHeight="1" x14ac:dyDescent="0.3">
      <c r="A75" s="379" t="s">
        <v>289</v>
      </c>
      <c r="B75" s="111">
        <v>0</v>
      </c>
      <c r="C75" s="111">
        <v>0</v>
      </c>
      <c r="D75" s="112">
        <f t="shared" ref="D75:D88" si="40">B75+C75</f>
        <v>0</v>
      </c>
      <c r="E75" s="111">
        <v>995829</v>
      </c>
      <c r="F75" s="111">
        <v>0</v>
      </c>
      <c r="G75" s="19">
        <f t="shared" ref="G75:G88" si="41">E75+F75</f>
        <v>995829</v>
      </c>
      <c r="H75" s="20">
        <f t="shared" ref="H75:H88" si="42">SUM(D75,G75)</f>
        <v>995829</v>
      </c>
    </row>
    <row r="76" spans="1:8" s="1" customFormat="1" ht="20.149999999999999" customHeight="1" x14ac:dyDescent="0.3">
      <c r="A76" s="379" t="s">
        <v>290</v>
      </c>
      <c r="B76" s="111">
        <v>0</v>
      </c>
      <c r="C76" s="111">
        <v>0</v>
      </c>
      <c r="D76" s="112">
        <f t="shared" si="40"/>
        <v>0</v>
      </c>
      <c r="E76" s="111">
        <v>21416</v>
      </c>
      <c r="F76" s="111">
        <v>0</v>
      </c>
      <c r="G76" s="19">
        <f t="shared" si="41"/>
        <v>21416</v>
      </c>
      <c r="H76" s="20">
        <f t="shared" si="42"/>
        <v>21416</v>
      </c>
    </row>
    <row r="77" spans="1:8" s="1" customFormat="1" ht="20.149999999999999" customHeight="1" x14ac:dyDescent="0.3">
      <c r="A77" s="28" t="s">
        <v>291</v>
      </c>
      <c r="B77" s="111">
        <v>0</v>
      </c>
      <c r="C77" s="111">
        <v>0</v>
      </c>
      <c r="D77" s="112">
        <f t="shared" si="40"/>
        <v>0</v>
      </c>
      <c r="E77" s="111">
        <v>0</v>
      </c>
      <c r="F77" s="111">
        <v>0</v>
      </c>
      <c r="G77" s="19">
        <f t="shared" si="41"/>
        <v>0</v>
      </c>
      <c r="H77" s="20">
        <f t="shared" si="42"/>
        <v>0</v>
      </c>
    </row>
    <row r="78" spans="1:8" s="1" customFormat="1" ht="20.149999999999999" customHeight="1" x14ac:dyDescent="0.3">
      <c r="A78" s="379" t="s">
        <v>292</v>
      </c>
      <c r="B78" s="111">
        <v>0</v>
      </c>
      <c r="C78" s="111">
        <v>0</v>
      </c>
      <c r="D78" s="112">
        <f t="shared" si="40"/>
        <v>0</v>
      </c>
      <c r="E78" s="111">
        <v>0</v>
      </c>
      <c r="F78" s="111">
        <v>0</v>
      </c>
      <c r="G78" s="19">
        <f t="shared" si="41"/>
        <v>0</v>
      </c>
      <c r="H78" s="20">
        <f t="shared" si="42"/>
        <v>0</v>
      </c>
    </row>
    <row r="79" spans="1:8" s="1" customFormat="1" ht="20.149999999999999" customHeight="1" x14ac:dyDescent="0.3">
      <c r="A79" s="379" t="s">
        <v>293</v>
      </c>
      <c r="B79" s="111">
        <v>0</v>
      </c>
      <c r="C79" s="111">
        <v>0</v>
      </c>
      <c r="D79" s="112">
        <f t="shared" si="40"/>
        <v>0</v>
      </c>
      <c r="E79" s="111">
        <v>0</v>
      </c>
      <c r="F79" s="111">
        <v>0</v>
      </c>
      <c r="G79" s="19">
        <f t="shared" si="41"/>
        <v>0</v>
      </c>
      <c r="H79" s="20">
        <f t="shared" si="42"/>
        <v>0</v>
      </c>
    </row>
    <row r="80" spans="1:8" s="1" customFormat="1" ht="20.149999999999999" customHeight="1" x14ac:dyDescent="0.3">
      <c r="A80" s="379" t="s">
        <v>294</v>
      </c>
      <c r="B80" s="111">
        <v>0</v>
      </c>
      <c r="C80" s="111">
        <v>0</v>
      </c>
      <c r="D80" s="112">
        <f t="shared" si="40"/>
        <v>0</v>
      </c>
      <c r="E80" s="111">
        <v>0</v>
      </c>
      <c r="F80" s="111">
        <v>0</v>
      </c>
      <c r="G80" s="19">
        <f t="shared" si="41"/>
        <v>0</v>
      </c>
      <c r="H80" s="20">
        <f t="shared" si="42"/>
        <v>0</v>
      </c>
    </row>
    <row r="81" spans="1:8" s="1" customFormat="1" ht="20.149999999999999" customHeight="1" x14ac:dyDescent="0.3">
      <c r="A81" s="379" t="s">
        <v>295</v>
      </c>
      <c r="B81" s="111">
        <v>0</v>
      </c>
      <c r="C81" s="111">
        <v>0</v>
      </c>
      <c r="D81" s="112">
        <f t="shared" si="40"/>
        <v>0</v>
      </c>
      <c r="E81" s="111">
        <v>0</v>
      </c>
      <c r="F81" s="111">
        <v>0</v>
      </c>
      <c r="G81" s="19">
        <f t="shared" si="41"/>
        <v>0</v>
      </c>
      <c r="H81" s="20">
        <f t="shared" si="42"/>
        <v>0</v>
      </c>
    </row>
    <row r="82" spans="1:8" s="1" customFormat="1" ht="20.149999999999999" customHeight="1" x14ac:dyDescent="0.3">
      <c r="A82" s="379" t="s">
        <v>296</v>
      </c>
      <c r="B82" s="111">
        <v>0</v>
      </c>
      <c r="C82" s="111">
        <v>0</v>
      </c>
      <c r="D82" s="112">
        <f t="shared" si="40"/>
        <v>0</v>
      </c>
      <c r="E82" s="111">
        <v>0</v>
      </c>
      <c r="F82" s="111">
        <v>0</v>
      </c>
      <c r="G82" s="19">
        <f t="shared" si="41"/>
        <v>0</v>
      </c>
      <c r="H82" s="20">
        <f t="shared" si="42"/>
        <v>0</v>
      </c>
    </row>
    <row r="83" spans="1:8" s="1" customFormat="1" ht="20.149999999999999" customHeight="1" x14ac:dyDescent="0.3">
      <c r="A83" s="379" t="s">
        <v>297</v>
      </c>
      <c r="B83" s="111">
        <v>0</v>
      </c>
      <c r="C83" s="111">
        <v>0</v>
      </c>
      <c r="D83" s="112">
        <f t="shared" si="40"/>
        <v>0</v>
      </c>
      <c r="E83" s="111">
        <v>0</v>
      </c>
      <c r="F83" s="111">
        <v>0</v>
      </c>
      <c r="G83" s="19">
        <f t="shared" si="41"/>
        <v>0</v>
      </c>
      <c r="H83" s="20">
        <f t="shared" si="42"/>
        <v>0</v>
      </c>
    </row>
    <row r="84" spans="1:8" s="1" customFormat="1" ht="20.149999999999999" customHeight="1" x14ac:dyDescent="0.3">
      <c r="A84" s="379" t="s">
        <v>298</v>
      </c>
      <c r="B84" s="111">
        <v>46384</v>
      </c>
      <c r="C84" s="111">
        <v>0</v>
      </c>
      <c r="D84" s="112">
        <f t="shared" si="40"/>
        <v>46384</v>
      </c>
      <c r="E84" s="111">
        <v>0</v>
      </c>
      <c r="F84" s="111">
        <v>0</v>
      </c>
      <c r="G84" s="19">
        <f t="shared" si="41"/>
        <v>0</v>
      </c>
      <c r="H84" s="20">
        <f t="shared" si="42"/>
        <v>46384</v>
      </c>
    </row>
    <row r="85" spans="1:8" s="1" customFormat="1" ht="20.149999999999999" customHeight="1" x14ac:dyDescent="0.3">
      <c r="A85" s="379" t="s">
        <v>299</v>
      </c>
      <c r="B85" s="111">
        <v>0</v>
      </c>
      <c r="C85" s="111">
        <v>0</v>
      </c>
      <c r="D85" s="112">
        <f t="shared" si="40"/>
        <v>0</v>
      </c>
      <c r="E85" s="111">
        <v>0</v>
      </c>
      <c r="F85" s="111">
        <v>0</v>
      </c>
      <c r="G85" s="19">
        <f t="shared" si="41"/>
        <v>0</v>
      </c>
      <c r="H85" s="20">
        <f t="shared" si="42"/>
        <v>0</v>
      </c>
    </row>
    <row r="86" spans="1:8" s="1" customFormat="1" ht="20.149999999999999" customHeight="1" x14ac:dyDescent="0.3">
      <c r="A86" s="379" t="s">
        <v>300</v>
      </c>
      <c r="B86" s="111">
        <v>97670</v>
      </c>
      <c r="C86" s="111">
        <v>0</v>
      </c>
      <c r="D86" s="112">
        <f t="shared" si="40"/>
        <v>97670</v>
      </c>
      <c r="E86" s="111">
        <v>0</v>
      </c>
      <c r="F86" s="111">
        <v>0</v>
      </c>
      <c r="G86" s="19">
        <f t="shared" si="41"/>
        <v>0</v>
      </c>
      <c r="H86" s="20">
        <f t="shared" si="42"/>
        <v>97670</v>
      </c>
    </row>
    <row r="87" spans="1:8" s="1" customFormat="1" ht="20.149999999999999" customHeight="1" x14ac:dyDescent="0.3">
      <c r="A87" s="379" t="s">
        <v>301</v>
      </c>
      <c r="B87" s="111">
        <v>11396</v>
      </c>
      <c r="C87" s="111">
        <v>0</v>
      </c>
      <c r="D87" s="112">
        <f t="shared" si="40"/>
        <v>11396</v>
      </c>
      <c r="E87" s="111">
        <v>2722</v>
      </c>
      <c r="F87" s="111">
        <v>0</v>
      </c>
      <c r="G87" s="19">
        <f t="shared" si="41"/>
        <v>2722</v>
      </c>
      <c r="H87" s="20">
        <f t="shared" si="42"/>
        <v>14118</v>
      </c>
    </row>
    <row r="88" spans="1:8" s="1" customFormat="1" ht="20.149999999999999" customHeight="1" x14ac:dyDescent="0.3">
      <c r="A88" s="379" t="s">
        <v>302</v>
      </c>
      <c r="B88" s="111">
        <v>0</v>
      </c>
      <c r="C88" s="111">
        <v>0</v>
      </c>
      <c r="D88" s="112">
        <f t="shared" si="40"/>
        <v>0</v>
      </c>
      <c r="E88" s="111">
        <v>0</v>
      </c>
      <c r="F88" s="111">
        <v>0</v>
      </c>
      <c r="G88" s="19">
        <f t="shared" si="41"/>
        <v>0</v>
      </c>
      <c r="H88" s="20">
        <f t="shared" si="42"/>
        <v>0</v>
      </c>
    </row>
    <row r="89" spans="1:8" s="1" customFormat="1" ht="20.149999999999999" customHeight="1" thickBot="1" x14ac:dyDescent="0.35">
      <c r="A89" s="16" t="s">
        <v>150</v>
      </c>
      <c r="B89" s="17">
        <f>SUM(B73:B88)</f>
        <v>525898</v>
      </c>
      <c r="C89" s="17">
        <f t="shared" ref="C89" si="43">SUM(C73:C88)</f>
        <v>82277</v>
      </c>
      <c r="D89" s="17">
        <f t="shared" ref="D89" si="44">SUM(D73:D88)</f>
        <v>608175</v>
      </c>
      <c r="E89" s="17">
        <f t="shared" ref="E89" si="45">SUM(E73:E88)</f>
        <v>1050084</v>
      </c>
      <c r="F89" s="17">
        <f t="shared" ref="F89" si="46">SUM(F73:F88)</f>
        <v>12406</v>
      </c>
      <c r="G89" s="17">
        <f t="shared" ref="G89" si="47">SUM(G73:G88)</f>
        <v>1062490</v>
      </c>
      <c r="H89" s="17">
        <f t="shared" ref="H89" si="48">SUM(H73:H88)</f>
        <v>1670665</v>
      </c>
    </row>
    <row r="90" spans="1:8" s="1" customFormat="1" ht="20.149999999999999" customHeight="1" thickBot="1" x14ac:dyDescent="0.35">
      <c r="A90" s="522"/>
      <c r="B90" s="523"/>
      <c r="C90" s="523"/>
      <c r="D90" s="523"/>
      <c r="E90" s="523"/>
      <c r="F90" s="523"/>
      <c r="G90" s="523"/>
      <c r="H90" s="523"/>
    </row>
    <row r="91" spans="1:8" s="1" customFormat="1" ht="20.149999999999999" customHeight="1" x14ac:dyDescent="0.3">
      <c r="A91" s="519" t="s">
        <v>306</v>
      </c>
      <c r="B91" s="520"/>
      <c r="C91" s="520"/>
      <c r="D91" s="520"/>
      <c r="E91" s="520"/>
      <c r="F91" s="520"/>
      <c r="G91" s="520"/>
      <c r="H91" s="521"/>
    </row>
    <row r="92" spans="1:8" s="1" customFormat="1" ht="20.149999999999999" customHeight="1" x14ac:dyDescent="0.3">
      <c r="A92" s="524" t="s">
        <v>283</v>
      </c>
      <c r="B92" s="526" t="s">
        <v>284</v>
      </c>
      <c r="C92" s="526"/>
      <c r="D92" s="526"/>
      <c r="E92" s="526" t="s">
        <v>285</v>
      </c>
      <c r="F92" s="526"/>
      <c r="G92" s="526"/>
      <c r="H92" s="518" t="s">
        <v>150</v>
      </c>
    </row>
    <row r="93" spans="1:8" s="1" customFormat="1" ht="20.149999999999999" customHeight="1" x14ac:dyDescent="0.3">
      <c r="A93" s="525"/>
      <c r="B93" s="378" t="s">
        <v>286</v>
      </c>
      <c r="C93" s="378" t="s">
        <v>287</v>
      </c>
      <c r="D93" s="378" t="s">
        <v>150</v>
      </c>
      <c r="E93" s="378" t="s">
        <v>286</v>
      </c>
      <c r="F93" s="378" t="s">
        <v>287</v>
      </c>
      <c r="G93" s="378" t="s">
        <v>150</v>
      </c>
      <c r="H93" s="518"/>
    </row>
    <row r="94" spans="1:8" s="1" customFormat="1" ht="20.149999999999999" customHeight="1" x14ac:dyDescent="0.3">
      <c r="A94" s="21" t="s">
        <v>142</v>
      </c>
      <c r="B94" s="13">
        <v>385266</v>
      </c>
      <c r="C94" s="13">
        <v>85568</v>
      </c>
      <c r="D94" s="14">
        <f>B94+C94</f>
        <v>470834</v>
      </c>
      <c r="E94" s="13">
        <v>31322</v>
      </c>
      <c r="F94" s="13">
        <v>12902</v>
      </c>
      <c r="G94" s="18">
        <f>E94+F94</f>
        <v>44224</v>
      </c>
      <c r="H94" s="20">
        <f>SUM(D94,G94)</f>
        <v>515058</v>
      </c>
    </row>
    <row r="95" spans="1:8" s="1" customFormat="1" ht="20.149999999999999" customHeight="1" x14ac:dyDescent="0.3">
      <c r="A95" s="379" t="s">
        <v>288</v>
      </c>
      <c r="B95" s="13">
        <v>0</v>
      </c>
      <c r="C95" s="13">
        <v>0</v>
      </c>
      <c r="D95" s="14">
        <f>B95+C95</f>
        <v>0</v>
      </c>
      <c r="E95" s="13">
        <v>0</v>
      </c>
      <c r="F95" s="13">
        <v>0</v>
      </c>
      <c r="G95" s="18">
        <f>E95+F95</f>
        <v>0</v>
      </c>
      <c r="H95" s="20">
        <f>SUM(D95,G95)</f>
        <v>0</v>
      </c>
    </row>
    <row r="96" spans="1:8" s="1" customFormat="1" ht="20.149999999999999" customHeight="1" x14ac:dyDescent="0.3">
      <c r="A96" s="379" t="s">
        <v>289</v>
      </c>
      <c r="B96" s="111">
        <v>0</v>
      </c>
      <c r="C96" s="111">
        <v>0</v>
      </c>
      <c r="D96" s="112">
        <f t="shared" ref="D96:D109" si="49">B96+C96</f>
        <v>0</v>
      </c>
      <c r="E96" s="111">
        <v>1035662</v>
      </c>
      <c r="F96" s="111">
        <v>0</v>
      </c>
      <c r="G96" s="19">
        <f t="shared" ref="G96:G109" si="50">E96+F96</f>
        <v>1035662</v>
      </c>
      <c r="H96" s="20">
        <f t="shared" ref="H96:H109" si="51">SUM(D96,G96)</f>
        <v>1035662</v>
      </c>
    </row>
    <row r="97" spans="1:8" s="1" customFormat="1" ht="20.149999999999999" customHeight="1" x14ac:dyDescent="0.3">
      <c r="A97" s="379" t="s">
        <v>290</v>
      </c>
      <c r="B97" s="111">
        <v>0</v>
      </c>
      <c r="C97" s="111">
        <v>0</v>
      </c>
      <c r="D97" s="112">
        <f t="shared" si="49"/>
        <v>0</v>
      </c>
      <c r="E97" s="111">
        <v>22272</v>
      </c>
      <c r="F97" s="111">
        <v>0</v>
      </c>
      <c r="G97" s="19">
        <f t="shared" si="50"/>
        <v>22272</v>
      </c>
      <c r="H97" s="20">
        <f t="shared" si="51"/>
        <v>22272</v>
      </c>
    </row>
    <row r="98" spans="1:8" s="1" customFormat="1" ht="20.149999999999999" customHeight="1" x14ac:dyDescent="0.3">
      <c r="A98" s="28" t="s">
        <v>291</v>
      </c>
      <c r="B98" s="111">
        <v>0</v>
      </c>
      <c r="C98" s="111">
        <v>0</v>
      </c>
      <c r="D98" s="112">
        <f t="shared" si="49"/>
        <v>0</v>
      </c>
      <c r="E98" s="111">
        <v>0</v>
      </c>
      <c r="F98" s="111">
        <v>0</v>
      </c>
      <c r="G98" s="19">
        <f t="shared" si="50"/>
        <v>0</v>
      </c>
      <c r="H98" s="20">
        <f t="shared" si="51"/>
        <v>0</v>
      </c>
    </row>
    <row r="99" spans="1:8" s="1" customFormat="1" ht="20.149999999999999" customHeight="1" x14ac:dyDescent="0.3">
      <c r="A99" s="379" t="s">
        <v>292</v>
      </c>
      <c r="B99" s="111">
        <v>0</v>
      </c>
      <c r="C99" s="111">
        <v>0</v>
      </c>
      <c r="D99" s="112">
        <f t="shared" si="49"/>
        <v>0</v>
      </c>
      <c r="E99" s="111">
        <v>0</v>
      </c>
      <c r="F99" s="111">
        <v>0</v>
      </c>
      <c r="G99" s="19">
        <f t="shared" si="50"/>
        <v>0</v>
      </c>
      <c r="H99" s="20">
        <f t="shared" si="51"/>
        <v>0</v>
      </c>
    </row>
    <row r="100" spans="1:8" s="1" customFormat="1" ht="20.149999999999999" customHeight="1" x14ac:dyDescent="0.3">
      <c r="A100" s="379" t="s">
        <v>293</v>
      </c>
      <c r="B100" s="111">
        <v>0</v>
      </c>
      <c r="C100" s="111">
        <v>0</v>
      </c>
      <c r="D100" s="112">
        <f t="shared" si="49"/>
        <v>0</v>
      </c>
      <c r="E100" s="111">
        <v>0</v>
      </c>
      <c r="F100" s="111">
        <v>0</v>
      </c>
      <c r="G100" s="19">
        <f t="shared" si="50"/>
        <v>0</v>
      </c>
      <c r="H100" s="20">
        <f t="shared" si="51"/>
        <v>0</v>
      </c>
    </row>
    <row r="101" spans="1:8" s="1" customFormat="1" ht="20.149999999999999" customHeight="1" x14ac:dyDescent="0.3">
      <c r="A101" s="379" t="s">
        <v>294</v>
      </c>
      <c r="B101" s="111">
        <v>0</v>
      </c>
      <c r="C101" s="111">
        <v>0</v>
      </c>
      <c r="D101" s="112">
        <f t="shared" si="49"/>
        <v>0</v>
      </c>
      <c r="E101" s="111">
        <v>0</v>
      </c>
      <c r="F101" s="111">
        <v>0</v>
      </c>
      <c r="G101" s="19">
        <f t="shared" si="50"/>
        <v>0</v>
      </c>
      <c r="H101" s="20">
        <f t="shared" si="51"/>
        <v>0</v>
      </c>
    </row>
    <row r="102" spans="1:8" s="1" customFormat="1" ht="20.149999999999999" customHeight="1" x14ac:dyDescent="0.3">
      <c r="A102" s="379" t="s">
        <v>295</v>
      </c>
      <c r="B102" s="111">
        <v>0</v>
      </c>
      <c r="C102" s="111">
        <v>0</v>
      </c>
      <c r="D102" s="112">
        <f t="shared" si="49"/>
        <v>0</v>
      </c>
      <c r="E102" s="111">
        <v>0</v>
      </c>
      <c r="F102" s="111">
        <v>0</v>
      </c>
      <c r="G102" s="19">
        <f t="shared" si="50"/>
        <v>0</v>
      </c>
      <c r="H102" s="20">
        <f t="shared" si="51"/>
        <v>0</v>
      </c>
    </row>
    <row r="103" spans="1:8" s="1" customFormat="1" ht="20.149999999999999" customHeight="1" x14ac:dyDescent="0.3">
      <c r="A103" s="379" t="s">
        <v>296</v>
      </c>
      <c r="B103" s="111">
        <v>0</v>
      </c>
      <c r="C103" s="111">
        <v>0</v>
      </c>
      <c r="D103" s="112">
        <f t="shared" si="49"/>
        <v>0</v>
      </c>
      <c r="E103" s="111">
        <v>0</v>
      </c>
      <c r="F103" s="111">
        <v>0</v>
      </c>
      <c r="G103" s="19">
        <f t="shared" si="50"/>
        <v>0</v>
      </c>
      <c r="H103" s="20">
        <f t="shared" si="51"/>
        <v>0</v>
      </c>
    </row>
    <row r="104" spans="1:8" s="1" customFormat="1" ht="20.149999999999999" customHeight="1" x14ac:dyDescent="0.3">
      <c r="A104" s="379" t="s">
        <v>297</v>
      </c>
      <c r="B104" s="111">
        <v>0</v>
      </c>
      <c r="C104" s="111">
        <v>0</v>
      </c>
      <c r="D104" s="112">
        <f t="shared" si="49"/>
        <v>0</v>
      </c>
      <c r="E104" s="111">
        <v>0</v>
      </c>
      <c r="F104" s="111">
        <v>0</v>
      </c>
      <c r="G104" s="19">
        <f t="shared" si="50"/>
        <v>0</v>
      </c>
      <c r="H104" s="20">
        <f t="shared" si="51"/>
        <v>0</v>
      </c>
    </row>
    <row r="105" spans="1:8" s="1" customFormat="1" ht="20.149999999999999" customHeight="1" x14ac:dyDescent="0.3">
      <c r="A105" s="379" t="s">
        <v>298</v>
      </c>
      <c r="B105" s="111">
        <v>48240</v>
      </c>
      <c r="C105" s="111">
        <v>0</v>
      </c>
      <c r="D105" s="112">
        <f t="shared" si="49"/>
        <v>48240</v>
      </c>
      <c r="E105" s="111">
        <v>0</v>
      </c>
      <c r="F105" s="111">
        <v>0</v>
      </c>
      <c r="G105" s="19">
        <f t="shared" si="50"/>
        <v>0</v>
      </c>
      <c r="H105" s="20">
        <f t="shared" si="51"/>
        <v>48240</v>
      </c>
    </row>
    <row r="106" spans="1:8" s="1" customFormat="1" ht="20.149999999999999" customHeight="1" x14ac:dyDescent="0.3">
      <c r="A106" s="379" t="s">
        <v>299</v>
      </c>
      <c r="B106" s="111">
        <v>0</v>
      </c>
      <c r="C106" s="111">
        <v>0</v>
      </c>
      <c r="D106" s="112">
        <f t="shared" si="49"/>
        <v>0</v>
      </c>
      <c r="E106" s="111">
        <v>0</v>
      </c>
      <c r="F106" s="111">
        <v>0</v>
      </c>
      <c r="G106" s="19">
        <f t="shared" si="50"/>
        <v>0</v>
      </c>
      <c r="H106" s="20">
        <f t="shared" si="51"/>
        <v>0</v>
      </c>
    </row>
    <row r="107" spans="1:8" s="1" customFormat="1" ht="20.149999999999999" customHeight="1" x14ac:dyDescent="0.3">
      <c r="A107" s="379" t="s">
        <v>300</v>
      </c>
      <c r="B107" s="111">
        <v>101576</v>
      </c>
      <c r="C107" s="111">
        <v>0</v>
      </c>
      <c r="D107" s="112">
        <f t="shared" si="49"/>
        <v>101576</v>
      </c>
      <c r="E107" s="111">
        <v>0</v>
      </c>
      <c r="F107" s="111">
        <v>0</v>
      </c>
      <c r="G107" s="19">
        <f t="shared" si="50"/>
        <v>0</v>
      </c>
      <c r="H107" s="20">
        <f t="shared" si="51"/>
        <v>101576</v>
      </c>
    </row>
    <row r="108" spans="1:8" s="1" customFormat="1" ht="20.149999999999999" customHeight="1" x14ac:dyDescent="0.3">
      <c r="A108" s="379" t="s">
        <v>301</v>
      </c>
      <c r="B108" s="111">
        <v>11852</v>
      </c>
      <c r="C108" s="111">
        <v>0</v>
      </c>
      <c r="D108" s="112">
        <f t="shared" si="49"/>
        <v>11852</v>
      </c>
      <c r="E108" s="111">
        <v>2831</v>
      </c>
      <c r="F108" s="111">
        <v>0</v>
      </c>
      <c r="G108" s="19">
        <f t="shared" si="50"/>
        <v>2831</v>
      </c>
      <c r="H108" s="20">
        <f t="shared" si="51"/>
        <v>14683</v>
      </c>
    </row>
    <row r="109" spans="1:8" s="1" customFormat="1" ht="20.149999999999999" customHeight="1" x14ac:dyDescent="0.3">
      <c r="A109" s="379" t="s">
        <v>302</v>
      </c>
      <c r="B109" s="111">
        <v>0</v>
      </c>
      <c r="C109" s="111">
        <v>0</v>
      </c>
      <c r="D109" s="112">
        <f t="shared" si="49"/>
        <v>0</v>
      </c>
      <c r="E109" s="111">
        <v>0</v>
      </c>
      <c r="F109" s="111">
        <v>0</v>
      </c>
      <c r="G109" s="19">
        <f t="shared" si="50"/>
        <v>0</v>
      </c>
      <c r="H109" s="20">
        <f t="shared" si="51"/>
        <v>0</v>
      </c>
    </row>
    <row r="110" spans="1:8" s="1" customFormat="1" ht="20.149999999999999" customHeight="1" thickBot="1" x14ac:dyDescent="0.35">
      <c r="A110" s="16" t="s">
        <v>150</v>
      </c>
      <c r="B110" s="17">
        <f>SUM(B94:B109)</f>
        <v>546934</v>
      </c>
      <c r="C110" s="17">
        <f t="shared" ref="C110" si="52">SUM(C94:C109)</f>
        <v>85568</v>
      </c>
      <c r="D110" s="17">
        <f t="shared" ref="D110" si="53">SUM(D94:D109)</f>
        <v>632502</v>
      </c>
      <c r="E110" s="17">
        <f t="shared" ref="E110" si="54">SUM(E94:E109)</f>
        <v>1092087</v>
      </c>
      <c r="F110" s="17">
        <f t="shared" ref="F110" si="55">SUM(F94:F109)</f>
        <v>12902</v>
      </c>
      <c r="G110" s="17">
        <f t="shared" ref="G110" si="56">SUM(G94:G109)</f>
        <v>1104989</v>
      </c>
      <c r="H110" s="17">
        <f t="shared" ref="H110" si="57">SUM(H94:H109)</f>
        <v>1737491</v>
      </c>
    </row>
    <row r="111" spans="1:8" ht="20.149999999999999" customHeight="1" x14ac:dyDescent="0.3"/>
    <row r="112" spans="1:8" ht="20.149999999999999" customHeight="1" thickBot="1" x14ac:dyDescent="0.35"/>
    <row r="113" spans="1:14" s="1" customFormat="1" ht="20.149999999999999" customHeight="1" thickBot="1" x14ac:dyDescent="0.35">
      <c r="A113" s="575" t="s">
        <v>283</v>
      </c>
      <c r="B113" s="576"/>
      <c r="C113" s="576"/>
      <c r="D113" s="577"/>
      <c r="E113" s="22" t="s">
        <v>307</v>
      </c>
      <c r="F113" s="581" t="s">
        <v>308</v>
      </c>
      <c r="G113" s="582"/>
      <c r="H113" s="583"/>
    </row>
    <row r="114" spans="1:14" s="1" customFormat="1" ht="20.149999999999999" customHeight="1" x14ac:dyDescent="0.3">
      <c r="A114" s="578" t="s">
        <v>142</v>
      </c>
      <c r="B114" s="579"/>
      <c r="C114" s="579"/>
      <c r="D114" s="580"/>
      <c r="E114" s="26" t="s">
        <v>309</v>
      </c>
      <c r="F114" s="568" t="s">
        <v>310</v>
      </c>
      <c r="G114" s="569"/>
      <c r="H114" s="570"/>
    </row>
    <row r="115" spans="1:14" s="1" customFormat="1" ht="20.149999999999999" customHeight="1" x14ac:dyDescent="0.3">
      <c r="A115" s="572" t="s">
        <v>288</v>
      </c>
      <c r="B115" s="573"/>
      <c r="C115" s="573"/>
      <c r="D115" s="574"/>
      <c r="E115" s="26" t="s">
        <v>311</v>
      </c>
      <c r="F115" s="532" t="s">
        <v>312</v>
      </c>
      <c r="G115" s="533"/>
      <c r="H115" s="534"/>
      <c r="K115" s="571"/>
      <c r="L115" s="571"/>
      <c r="M115" s="571"/>
      <c r="N115" s="571"/>
    </row>
    <row r="116" spans="1:14" s="1" customFormat="1" ht="20.149999999999999" customHeight="1" x14ac:dyDescent="0.3">
      <c r="A116" s="550" t="s">
        <v>289</v>
      </c>
      <c r="B116" s="551"/>
      <c r="C116" s="551"/>
      <c r="D116" s="552"/>
      <c r="E116" s="26" t="s">
        <v>313</v>
      </c>
      <c r="F116" s="529" t="s">
        <v>314</v>
      </c>
      <c r="G116" s="530"/>
      <c r="H116" s="531"/>
      <c r="K116" s="380"/>
      <c r="L116" s="380"/>
      <c r="M116" s="380"/>
      <c r="N116" s="380"/>
    </row>
    <row r="117" spans="1:14" s="1" customFormat="1" ht="20.149999999999999" customHeight="1" x14ac:dyDescent="0.3">
      <c r="A117" s="550" t="s">
        <v>290</v>
      </c>
      <c r="B117" s="551"/>
      <c r="C117" s="551"/>
      <c r="D117" s="552"/>
      <c r="E117" s="26" t="s">
        <v>315</v>
      </c>
      <c r="F117" s="529" t="s">
        <v>316</v>
      </c>
      <c r="G117" s="530"/>
      <c r="H117" s="531"/>
      <c r="K117" s="380"/>
      <c r="L117" s="380"/>
      <c r="M117" s="380"/>
      <c r="N117" s="380"/>
    </row>
    <row r="118" spans="1:14" s="1" customFormat="1" ht="20.149999999999999" customHeight="1" x14ac:dyDescent="0.3">
      <c r="A118" s="562" t="s">
        <v>291</v>
      </c>
      <c r="B118" s="563"/>
      <c r="C118" s="563"/>
      <c r="D118" s="564"/>
      <c r="E118" s="26" t="s">
        <v>317</v>
      </c>
      <c r="F118" s="565" t="s">
        <v>318</v>
      </c>
      <c r="G118" s="566"/>
      <c r="H118" s="567"/>
      <c r="K118" s="380"/>
      <c r="L118" s="380"/>
      <c r="M118" s="380"/>
      <c r="N118" s="380"/>
    </row>
    <row r="119" spans="1:14" s="1" customFormat="1" ht="20.149999999999999" customHeight="1" x14ac:dyDescent="0.3">
      <c r="A119" s="550" t="s">
        <v>292</v>
      </c>
      <c r="B119" s="551"/>
      <c r="C119" s="551"/>
      <c r="D119" s="552"/>
      <c r="E119" s="26" t="s">
        <v>319</v>
      </c>
      <c r="F119" s="529" t="s">
        <v>320</v>
      </c>
      <c r="G119" s="530"/>
      <c r="H119" s="531"/>
      <c r="K119" s="380"/>
      <c r="L119" s="380"/>
      <c r="M119" s="380"/>
      <c r="N119" s="380"/>
    </row>
    <row r="120" spans="1:14" s="1" customFormat="1" ht="20.149999999999999" customHeight="1" x14ac:dyDescent="0.3">
      <c r="A120" s="550" t="s">
        <v>293</v>
      </c>
      <c r="B120" s="551"/>
      <c r="C120" s="551"/>
      <c r="D120" s="552"/>
      <c r="E120" s="26" t="s">
        <v>321</v>
      </c>
      <c r="F120" s="529" t="s">
        <v>322</v>
      </c>
      <c r="G120" s="530"/>
      <c r="H120" s="531"/>
      <c r="K120" s="380"/>
      <c r="L120" s="380"/>
      <c r="M120" s="380"/>
      <c r="N120" s="380"/>
    </row>
    <row r="121" spans="1:14" s="1" customFormat="1" ht="20.149999999999999" customHeight="1" x14ac:dyDescent="0.3">
      <c r="A121" s="550" t="s">
        <v>294</v>
      </c>
      <c r="B121" s="551"/>
      <c r="C121" s="551"/>
      <c r="D121" s="552"/>
      <c r="E121" s="26" t="s">
        <v>323</v>
      </c>
      <c r="F121" s="529" t="s">
        <v>324</v>
      </c>
      <c r="G121" s="530"/>
      <c r="H121" s="531"/>
      <c r="K121" s="380"/>
      <c r="L121" s="380"/>
      <c r="M121" s="380"/>
      <c r="N121" s="380"/>
    </row>
    <row r="122" spans="1:14" s="1" customFormat="1" ht="20.149999999999999" customHeight="1" x14ac:dyDescent="0.3">
      <c r="A122" s="550" t="s">
        <v>295</v>
      </c>
      <c r="B122" s="551"/>
      <c r="C122" s="551"/>
      <c r="D122" s="552"/>
      <c r="E122" s="26" t="s">
        <v>325</v>
      </c>
      <c r="F122" s="529" t="s">
        <v>326</v>
      </c>
      <c r="G122" s="530"/>
      <c r="H122" s="531"/>
      <c r="K122" s="380"/>
      <c r="L122" s="380"/>
      <c r="M122" s="380"/>
      <c r="N122" s="380"/>
    </row>
    <row r="123" spans="1:14" s="1" customFormat="1" ht="20.149999999999999" customHeight="1" x14ac:dyDescent="0.3">
      <c r="A123" s="550" t="s">
        <v>327</v>
      </c>
      <c r="B123" s="551"/>
      <c r="C123" s="551"/>
      <c r="D123" s="552"/>
      <c r="E123" s="27"/>
      <c r="F123" s="535"/>
      <c r="G123" s="536"/>
      <c r="H123" s="537"/>
      <c r="K123" s="380"/>
      <c r="L123" s="380"/>
      <c r="M123" s="380"/>
      <c r="N123" s="380"/>
    </row>
    <row r="124" spans="1:14" s="1" customFormat="1" ht="20.149999999999999" customHeight="1" x14ac:dyDescent="0.3">
      <c r="A124" s="556" t="s">
        <v>328</v>
      </c>
      <c r="B124" s="557"/>
      <c r="C124" s="557"/>
      <c r="D124" s="558"/>
      <c r="E124" s="26" t="s">
        <v>329</v>
      </c>
      <c r="F124" s="529" t="s">
        <v>330</v>
      </c>
      <c r="G124" s="530"/>
      <c r="H124" s="531"/>
      <c r="K124" s="23"/>
      <c r="L124" s="23"/>
      <c r="M124" s="23"/>
      <c r="N124" s="23"/>
    </row>
    <row r="125" spans="1:14" s="1" customFormat="1" ht="20.149999999999999" customHeight="1" x14ac:dyDescent="0.3">
      <c r="A125" s="556" t="s">
        <v>331</v>
      </c>
      <c r="B125" s="557"/>
      <c r="C125" s="557"/>
      <c r="D125" s="558"/>
      <c r="E125" s="26" t="s">
        <v>332</v>
      </c>
      <c r="F125" s="529" t="s">
        <v>333</v>
      </c>
      <c r="G125" s="530"/>
      <c r="H125" s="531"/>
      <c r="K125" s="23"/>
      <c r="L125" s="23"/>
      <c r="M125" s="23"/>
      <c r="N125" s="23"/>
    </row>
    <row r="126" spans="1:14" s="1" customFormat="1" ht="20.149999999999999" customHeight="1" x14ac:dyDescent="0.3">
      <c r="A126" s="556" t="s">
        <v>334</v>
      </c>
      <c r="B126" s="557"/>
      <c r="C126" s="557"/>
      <c r="D126" s="558"/>
      <c r="E126" s="26" t="s">
        <v>335</v>
      </c>
      <c r="F126" s="529" t="s">
        <v>336</v>
      </c>
      <c r="G126" s="530"/>
      <c r="H126" s="531"/>
      <c r="K126" s="23"/>
      <c r="L126" s="23"/>
      <c r="M126" s="23"/>
      <c r="N126" s="23"/>
    </row>
    <row r="127" spans="1:14" s="1" customFormat="1" ht="20.149999999999999" customHeight="1" x14ac:dyDescent="0.3">
      <c r="A127" s="550" t="s">
        <v>297</v>
      </c>
      <c r="B127" s="551"/>
      <c r="C127" s="551"/>
      <c r="D127" s="552"/>
      <c r="E127" s="27"/>
      <c r="F127" s="538"/>
      <c r="G127" s="539"/>
      <c r="H127" s="540"/>
      <c r="K127" s="380"/>
      <c r="L127" s="380"/>
      <c r="M127" s="380"/>
      <c r="N127" s="380"/>
    </row>
    <row r="128" spans="1:14" s="1" customFormat="1" ht="20.149999999999999" customHeight="1" x14ac:dyDescent="0.3">
      <c r="A128" s="556" t="s">
        <v>337</v>
      </c>
      <c r="B128" s="557"/>
      <c r="C128" s="557"/>
      <c r="D128" s="558"/>
      <c r="E128" s="26" t="s">
        <v>338</v>
      </c>
      <c r="F128" s="529" t="s">
        <v>339</v>
      </c>
      <c r="G128" s="530"/>
      <c r="H128" s="531"/>
      <c r="K128" s="23"/>
      <c r="L128" s="23"/>
      <c r="M128" s="23"/>
      <c r="N128" s="23"/>
    </row>
    <row r="129" spans="1:14" s="1" customFormat="1" ht="20.149999999999999" customHeight="1" x14ac:dyDescent="0.3">
      <c r="A129" s="556" t="s">
        <v>340</v>
      </c>
      <c r="B129" s="557"/>
      <c r="C129" s="557"/>
      <c r="D129" s="558"/>
      <c r="E129" s="26" t="s">
        <v>341</v>
      </c>
      <c r="F129" s="529" t="s">
        <v>342</v>
      </c>
      <c r="G129" s="530"/>
      <c r="H129" s="531"/>
      <c r="K129" s="23"/>
      <c r="L129" s="23"/>
      <c r="M129" s="23"/>
      <c r="N129" s="23"/>
    </row>
    <row r="130" spans="1:14" s="1" customFormat="1" ht="20.149999999999999" customHeight="1" x14ac:dyDescent="0.3">
      <c r="A130" s="556" t="s">
        <v>343</v>
      </c>
      <c r="B130" s="557"/>
      <c r="C130" s="557"/>
      <c r="D130" s="558"/>
      <c r="E130" s="26" t="s">
        <v>344</v>
      </c>
      <c r="F130" s="529" t="s">
        <v>345</v>
      </c>
      <c r="G130" s="530"/>
      <c r="H130" s="531"/>
      <c r="K130" s="23"/>
      <c r="L130" s="23"/>
      <c r="M130" s="23"/>
      <c r="N130" s="23"/>
    </row>
    <row r="131" spans="1:14" s="1" customFormat="1" ht="20.149999999999999" customHeight="1" x14ac:dyDescent="0.3">
      <c r="A131" s="553" t="s">
        <v>346</v>
      </c>
      <c r="B131" s="554"/>
      <c r="C131" s="554"/>
      <c r="D131" s="555"/>
      <c r="E131" s="26" t="s">
        <v>347</v>
      </c>
      <c r="F131" s="544" t="s">
        <v>348</v>
      </c>
      <c r="G131" s="545"/>
      <c r="H131" s="546"/>
      <c r="K131" s="24"/>
      <c r="L131" s="24"/>
      <c r="M131" s="24"/>
      <c r="N131" s="24"/>
    </row>
    <row r="132" spans="1:14" s="1" customFormat="1" ht="20.149999999999999" customHeight="1" x14ac:dyDescent="0.3">
      <c r="A132" s="550" t="s">
        <v>298</v>
      </c>
      <c r="B132" s="551"/>
      <c r="C132" s="551"/>
      <c r="D132" s="552"/>
      <c r="E132" s="26" t="s">
        <v>309</v>
      </c>
      <c r="F132" s="529" t="s">
        <v>349</v>
      </c>
      <c r="G132" s="530"/>
      <c r="H132" s="531"/>
      <c r="K132" s="380"/>
      <c r="L132" s="380"/>
      <c r="M132" s="380"/>
      <c r="N132" s="380"/>
    </row>
    <row r="133" spans="1:14" s="1" customFormat="1" ht="20.149999999999999" customHeight="1" x14ac:dyDescent="0.3">
      <c r="A133" s="550" t="s">
        <v>299</v>
      </c>
      <c r="B133" s="551"/>
      <c r="C133" s="551"/>
      <c r="D133" s="552"/>
      <c r="E133" s="26" t="s">
        <v>309</v>
      </c>
      <c r="F133" s="529" t="s">
        <v>350</v>
      </c>
      <c r="G133" s="530"/>
      <c r="H133" s="531"/>
      <c r="K133" s="380"/>
      <c r="L133" s="380"/>
      <c r="M133" s="380"/>
      <c r="N133" s="380"/>
    </row>
    <row r="134" spans="1:14" s="1" customFormat="1" ht="20.149999999999999" customHeight="1" x14ac:dyDescent="0.3">
      <c r="A134" s="550" t="s">
        <v>300</v>
      </c>
      <c r="B134" s="551"/>
      <c r="C134" s="551"/>
      <c r="D134" s="552"/>
      <c r="E134" s="26" t="s">
        <v>351</v>
      </c>
      <c r="F134" s="529" t="s">
        <v>352</v>
      </c>
      <c r="G134" s="530"/>
      <c r="H134" s="531"/>
      <c r="K134" s="380"/>
      <c r="L134" s="380"/>
      <c r="M134" s="380"/>
      <c r="N134" s="380"/>
    </row>
    <row r="135" spans="1:14" s="1" customFormat="1" ht="20.149999999999999" customHeight="1" thickBot="1" x14ac:dyDescent="0.35">
      <c r="A135" s="547" t="s">
        <v>302</v>
      </c>
      <c r="B135" s="548"/>
      <c r="C135" s="548"/>
      <c r="D135" s="549"/>
      <c r="E135" s="25" t="s">
        <v>309</v>
      </c>
      <c r="F135" s="541" t="s">
        <v>353</v>
      </c>
      <c r="G135" s="542"/>
      <c r="H135" s="543"/>
      <c r="K135" s="380"/>
      <c r="L135" s="380"/>
      <c r="M135" s="380"/>
      <c r="N135" s="380"/>
    </row>
  </sheetData>
  <mergeCells count="78">
    <mergeCell ref="A1:H1"/>
    <mergeCell ref="A118:D118"/>
    <mergeCell ref="F118:H118"/>
    <mergeCell ref="F114:H114"/>
    <mergeCell ref="K115:N115"/>
    <mergeCell ref="E71:G71"/>
    <mergeCell ref="A117:D117"/>
    <mergeCell ref="A116:D116"/>
    <mergeCell ref="A115:D115"/>
    <mergeCell ref="A113:D113"/>
    <mergeCell ref="A114:D114"/>
    <mergeCell ref="F113:H113"/>
    <mergeCell ref="A6:H6"/>
    <mergeCell ref="A7:H7"/>
    <mergeCell ref="A48:H48"/>
    <mergeCell ref="A8:A9"/>
    <mergeCell ref="A29:A30"/>
    <mergeCell ref="B29:D29"/>
    <mergeCell ref="E29:G29"/>
    <mergeCell ref="H8:H9"/>
    <mergeCell ref="H29:H30"/>
    <mergeCell ref="A28:H28"/>
    <mergeCell ref="A27:H27"/>
    <mergeCell ref="B8:D8"/>
    <mergeCell ref="E8:G8"/>
    <mergeCell ref="A123:D123"/>
    <mergeCell ref="A122:D122"/>
    <mergeCell ref="A121:D121"/>
    <mergeCell ref="A120:D120"/>
    <mergeCell ref="A119:D119"/>
    <mergeCell ref="A126:D126"/>
    <mergeCell ref="A125:D125"/>
    <mergeCell ref="A124:D124"/>
    <mergeCell ref="A127:D127"/>
    <mergeCell ref="A130:D130"/>
    <mergeCell ref="A129:D129"/>
    <mergeCell ref="A128:D128"/>
    <mergeCell ref="A135:D135"/>
    <mergeCell ref="A134:D134"/>
    <mergeCell ref="A133:D133"/>
    <mergeCell ref="A132:D132"/>
    <mergeCell ref="A131:D131"/>
    <mergeCell ref="F135:H135"/>
    <mergeCell ref="F134:H134"/>
    <mergeCell ref="F133:H133"/>
    <mergeCell ref="F132:H132"/>
    <mergeCell ref="F131:H131"/>
    <mergeCell ref="F130:H130"/>
    <mergeCell ref="F129:H129"/>
    <mergeCell ref="F128:H128"/>
    <mergeCell ref="F127:H127"/>
    <mergeCell ref="F126:H126"/>
    <mergeCell ref="F125:H125"/>
    <mergeCell ref="F124:H124"/>
    <mergeCell ref="F123:H123"/>
    <mergeCell ref="F122:H122"/>
    <mergeCell ref="F121:H121"/>
    <mergeCell ref="F120:H120"/>
    <mergeCell ref="F119:H119"/>
    <mergeCell ref="F117:H117"/>
    <mergeCell ref="F116:H116"/>
    <mergeCell ref="F115:H115"/>
    <mergeCell ref="H50:H51"/>
    <mergeCell ref="A49:H49"/>
    <mergeCell ref="H71:H72"/>
    <mergeCell ref="A70:H70"/>
    <mergeCell ref="H92:H93"/>
    <mergeCell ref="A91:H91"/>
    <mergeCell ref="A69:H69"/>
    <mergeCell ref="A90:H90"/>
    <mergeCell ref="A92:A93"/>
    <mergeCell ref="B92:D92"/>
    <mergeCell ref="E92:G92"/>
    <mergeCell ref="A50:A51"/>
    <mergeCell ref="B50:D50"/>
    <mergeCell ref="E50:G50"/>
    <mergeCell ref="A71:A72"/>
    <mergeCell ref="B71:D71"/>
  </mergeCells>
  <phoneticPr fontId="10" type="noConversion"/>
  <hyperlinks>
    <hyperlink ref="F122" r:id="rId1" display="23-7.4:2 C 1" xr:uid="{00000000-0004-0000-0700-000000000000}"/>
    <hyperlink ref="F125" r:id="rId2" display="23-7.4:2 E" xr:uid="{00000000-0004-0000-0700-000001000000}"/>
    <hyperlink ref="F128" r:id="rId3" display="23-7.4:2 C 3" xr:uid="{00000000-0004-0000-0700-000002000000}"/>
    <hyperlink ref="F129" r:id="rId4" display="23-7.4:2 A " xr:uid="{00000000-0004-0000-0700-000003000000}"/>
    <hyperlink ref="F115" r:id="rId5" display="23-7.4:2 C 2" xr:uid="{00000000-0004-0000-0700-000004000000}"/>
    <hyperlink ref="F121" r:id="rId6" display="23-7.4:2 F" xr:uid="{00000000-0004-0000-0700-000005000000}"/>
    <hyperlink ref="F130" r:id="rId7" display="23-7.4 B " xr:uid="{00000000-0004-0000-0700-000006000000}"/>
    <hyperlink ref="F116" r:id="rId8" display="23-7.4 E " xr:uid="{00000000-0004-0000-0700-000007000000}"/>
    <hyperlink ref="F117" r:id="rId9" display="23-7.4:2 G" xr:uid="{00000000-0004-0000-0700-000008000000}"/>
    <hyperlink ref="F124" r:id="rId10" display="23-7.4:2 D" xr:uid="{00000000-0004-0000-0700-000009000000}"/>
    <hyperlink ref="F131" r:id="rId11" xr:uid="{00000000-0004-0000-0700-00000A000000}"/>
    <hyperlink ref="F119" r:id="rId12" xr:uid="{00000000-0004-0000-0700-00000B000000}"/>
    <hyperlink ref="F120" r:id="rId13" display="23-7.4:2 G" xr:uid="{00000000-0004-0000-0700-00000C000000}"/>
    <hyperlink ref="F132" r:id="rId14" xr:uid="{00000000-0004-0000-0700-00000D000000}"/>
    <hyperlink ref="F134" r:id="rId15" xr:uid="{00000000-0004-0000-0700-00000E000000}"/>
    <hyperlink ref="F133" r:id="rId16" xr:uid="{00000000-0004-0000-0700-00000F000000}"/>
    <hyperlink ref="F135" r:id="rId17" xr:uid="{00000000-0004-0000-0700-000010000000}"/>
    <hyperlink ref="F114" r:id="rId18" display="23-7.4:2 C 2" xr:uid="{00000000-0004-0000-0700-000011000000}"/>
    <hyperlink ref="F114:H114" r:id="rId19" display="Code of Virginia § 23-31" xr:uid="{00000000-0004-0000-0700-000012000000}"/>
    <hyperlink ref="F118" r:id="rId20" display="23-7.4:2 G" xr:uid="{00000000-0004-0000-0700-000013000000}"/>
    <hyperlink ref="F118:H118" r:id="rId21" display="Code of Virginia § 23-7.4:2 G" xr:uid="{00000000-0004-0000-0700-000014000000}"/>
  </hyperlinks>
  <pageMargins left="0.2" right="0.2" top="1" bottom="0.5" header="0.3" footer="0.3"/>
  <pageSetup scale="82" fitToHeight="6" orientation="landscape" horizontalDpi="4294967292" verticalDpi="4294967292"/>
  <headerFooter>
    <oddFooter>&amp;L2014 Six-Year Plan - Tuition Waivers&amp;C&amp;P of &amp;N&amp;RSCHEV - 7/1/2014</oddFooter>
  </headerFooter>
  <extLst>
    <ext xmlns:mx="http://schemas.microsoft.com/office/mac/excel/2008/main" uri="{64002731-A6B0-56B0-2670-7721B7C09600}">
      <mx:PLV Mode="0" OnePage="0" WScale="18"/>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B51"/>
  <sheetViews>
    <sheetView workbookViewId="0">
      <selection sqref="A1:B51"/>
    </sheetView>
  </sheetViews>
  <sheetFormatPr defaultColWidth="9.15234375" defaultRowHeight="12.45" x14ac:dyDescent="0.3"/>
  <cols>
    <col min="1" max="16384" width="9.15234375" style="8"/>
  </cols>
  <sheetData>
    <row r="1" spans="1:2" x14ac:dyDescent="0.3">
      <c r="A1" s="8" t="s">
        <v>354</v>
      </c>
      <c r="B1" s="8" t="s">
        <v>355</v>
      </c>
    </row>
    <row r="2" spans="1:2" x14ac:dyDescent="0.3">
      <c r="A2" s="8">
        <v>1</v>
      </c>
      <c r="B2" s="8" t="s">
        <v>356</v>
      </c>
    </row>
    <row r="3" spans="1:2" x14ac:dyDescent="0.3">
      <c r="A3" s="8">
        <v>2</v>
      </c>
      <c r="B3" s="8" t="s">
        <v>357</v>
      </c>
    </row>
    <row r="4" spans="1:2" x14ac:dyDescent="0.3">
      <c r="A4" s="8">
        <v>3</v>
      </c>
    </row>
    <row r="5" spans="1:2" x14ac:dyDescent="0.3">
      <c r="A5" s="8">
        <v>4</v>
      </c>
    </row>
    <row r="6" spans="1:2" x14ac:dyDescent="0.3">
      <c r="A6" s="8">
        <v>5</v>
      </c>
    </row>
    <row r="7" spans="1:2" x14ac:dyDescent="0.3">
      <c r="A7" s="8">
        <v>6</v>
      </c>
    </row>
    <row r="8" spans="1:2" x14ac:dyDescent="0.3">
      <c r="A8" s="8">
        <v>7</v>
      </c>
    </row>
    <row r="9" spans="1:2" x14ac:dyDescent="0.3">
      <c r="A9" s="8">
        <v>8</v>
      </c>
    </row>
    <row r="10" spans="1:2" x14ac:dyDescent="0.3">
      <c r="A10" s="8">
        <v>9</v>
      </c>
    </row>
    <row r="11" spans="1:2" x14ac:dyDescent="0.3">
      <c r="A11" s="8">
        <v>10</v>
      </c>
    </row>
    <row r="12" spans="1:2" x14ac:dyDescent="0.3">
      <c r="A12" s="8">
        <v>11</v>
      </c>
    </row>
    <row r="13" spans="1:2" x14ac:dyDescent="0.3">
      <c r="A13" s="8">
        <v>12</v>
      </c>
    </row>
    <row r="14" spans="1:2" x14ac:dyDescent="0.3">
      <c r="A14" s="8">
        <v>13</v>
      </c>
    </row>
    <row r="15" spans="1:2" x14ac:dyDescent="0.3">
      <c r="A15" s="8">
        <v>14</v>
      </c>
    </row>
    <row r="16" spans="1:2" x14ac:dyDescent="0.3">
      <c r="A16" s="8">
        <v>15</v>
      </c>
    </row>
    <row r="17" spans="1:1" x14ac:dyDescent="0.3">
      <c r="A17" s="8">
        <v>16</v>
      </c>
    </row>
    <row r="18" spans="1:1" x14ac:dyDescent="0.3">
      <c r="A18" s="8">
        <v>17</v>
      </c>
    </row>
    <row r="19" spans="1:1" x14ac:dyDescent="0.3">
      <c r="A19" s="8">
        <v>18</v>
      </c>
    </row>
    <row r="20" spans="1:1" x14ac:dyDescent="0.3">
      <c r="A20" s="8">
        <v>19</v>
      </c>
    </row>
    <row r="21" spans="1:1" x14ac:dyDescent="0.3">
      <c r="A21" s="8">
        <v>20</v>
      </c>
    </row>
    <row r="22" spans="1:1" x14ac:dyDescent="0.3">
      <c r="A22" s="8">
        <v>21</v>
      </c>
    </row>
    <row r="23" spans="1:1" x14ac:dyDescent="0.3">
      <c r="A23" s="8">
        <v>22</v>
      </c>
    </row>
    <row r="24" spans="1:1" x14ac:dyDescent="0.3">
      <c r="A24" s="8">
        <v>23</v>
      </c>
    </row>
    <row r="25" spans="1:1" x14ac:dyDescent="0.3">
      <c r="A25" s="8">
        <v>24</v>
      </c>
    </row>
    <row r="26" spans="1:1" x14ac:dyDescent="0.3">
      <c r="A26" s="8">
        <v>25</v>
      </c>
    </row>
    <row r="27" spans="1:1" x14ac:dyDescent="0.3">
      <c r="A27" s="8">
        <v>26</v>
      </c>
    </row>
    <row r="28" spans="1:1" x14ac:dyDescent="0.3">
      <c r="A28" s="8">
        <v>27</v>
      </c>
    </row>
    <row r="29" spans="1:1" x14ac:dyDescent="0.3">
      <c r="A29" s="8">
        <v>28</v>
      </c>
    </row>
    <row r="30" spans="1:1" x14ac:dyDescent="0.3">
      <c r="A30" s="8">
        <v>29</v>
      </c>
    </row>
    <row r="31" spans="1:1" x14ac:dyDescent="0.3">
      <c r="A31" s="8">
        <v>30</v>
      </c>
    </row>
    <row r="32" spans="1:1" x14ac:dyDescent="0.3">
      <c r="A32" s="8">
        <v>31</v>
      </c>
    </row>
    <row r="33" spans="1:1" x14ac:dyDescent="0.3">
      <c r="A33" s="8">
        <v>32</v>
      </c>
    </row>
    <row r="34" spans="1:1" x14ac:dyDescent="0.3">
      <c r="A34" s="8">
        <v>33</v>
      </c>
    </row>
    <row r="35" spans="1:1" x14ac:dyDescent="0.3">
      <c r="A35" s="8">
        <v>34</v>
      </c>
    </row>
    <row r="36" spans="1:1" x14ac:dyDescent="0.3">
      <c r="A36" s="8">
        <v>35</v>
      </c>
    </row>
    <row r="37" spans="1:1" x14ac:dyDescent="0.3">
      <c r="A37" s="8">
        <v>36</v>
      </c>
    </row>
    <row r="38" spans="1:1" x14ac:dyDescent="0.3">
      <c r="A38" s="8">
        <v>37</v>
      </c>
    </row>
    <row r="39" spans="1:1" x14ac:dyDescent="0.3">
      <c r="A39" s="8">
        <v>38</v>
      </c>
    </row>
    <row r="40" spans="1:1" x14ac:dyDescent="0.3">
      <c r="A40" s="8">
        <v>39</v>
      </c>
    </row>
    <row r="41" spans="1:1" x14ac:dyDescent="0.3">
      <c r="A41" s="8">
        <v>40</v>
      </c>
    </row>
    <row r="42" spans="1:1" x14ac:dyDescent="0.3">
      <c r="A42" s="8">
        <v>41</v>
      </c>
    </row>
    <row r="43" spans="1:1" x14ac:dyDescent="0.3">
      <c r="A43" s="8">
        <v>42</v>
      </c>
    </row>
    <row r="44" spans="1:1" x14ac:dyDescent="0.3">
      <c r="A44" s="8">
        <v>43</v>
      </c>
    </row>
    <row r="45" spans="1:1" x14ac:dyDescent="0.3">
      <c r="A45" s="8">
        <v>44</v>
      </c>
    </row>
    <row r="46" spans="1:1" x14ac:dyDescent="0.3">
      <c r="A46" s="8">
        <v>45</v>
      </c>
    </row>
    <row r="47" spans="1:1" x14ac:dyDescent="0.3">
      <c r="A47" s="8">
        <v>46</v>
      </c>
    </row>
    <row r="48" spans="1:1" x14ac:dyDescent="0.3">
      <c r="A48" s="8">
        <v>47</v>
      </c>
    </row>
    <row r="49" spans="1:1" x14ac:dyDescent="0.3">
      <c r="A49" s="8">
        <v>48</v>
      </c>
    </row>
    <row r="50" spans="1:1" x14ac:dyDescent="0.3">
      <c r="A50" s="8">
        <v>49</v>
      </c>
    </row>
    <row r="51" spans="1:1" x14ac:dyDescent="0.3">
      <c r="A51" s="8">
        <v>50</v>
      </c>
    </row>
  </sheetData>
  <pageMargins left="0.7" right="0.7" top="0.75" bottom="0.75" header="0.3" footer="0.3"/>
  <pageSetup orientation="portrait"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S8"/>
  <sheetViews>
    <sheetView tabSelected="1" zoomScaleNormal="100" workbookViewId="0">
      <selection activeCell="J17" sqref="J17"/>
    </sheetView>
  </sheetViews>
  <sheetFormatPr defaultColWidth="8.61328125" defaultRowHeight="12.45" x14ac:dyDescent="0.3"/>
  <cols>
    <col min="5" max="5" width="17.3828125" customWidth="1"/>
    <col min="17" max="17" width="30.61328125" customWidth="1"/>
  </cols>
  <sheetData>
    <row r="1" spans="1:19" s="2" customFormat="1" ht="30" customHeight="1" x14ac:dyDescent="0.3">
      <c r="A1" s="411" t="s">
        <v>61</v>
      </c>
      <c r="B1" s="411"/>
      <c r="C1" s="411"/>
      <c r="D1" s="411"/>
      <c r="E1" s="411"/>
      <c r="F1" s="411"/>
      <c r="G1" s="411"/>
      <c r="H1" s="411"/>
      <c r="I1" s="411"/>
      <c r="J1" s="411"/>
      <c r="K1" s="411"/>
      <c r="L1" s="411"/>
      <c r="M1" s="411"/>
      <c r="N1" s="411"/>
      <c r="O1" s="411"/>
      <c r="P1" s="411"/>
      <c r="Q1" s="411"/>
    </row>
    <row r="2" spans="1:19" s="2" customFormat="1" ht="30" customHeight="1" thickBot="1" x14ac:dyDescent="0.35">
      <c r="A2" s="413" t="s">
        <v>62</v>
      </c>
      <c r="B2" s="413"/>
      <c r="C2" s="413"/>
      <c r="D2" s="413"/>
      <c r="E2" s="413"/>
      <c r="F2" s="372"/>
      <c r="G2" s="372"/>
      <c r="H2" s="372"/>
      <c r="I2" s="372"/>
      <c r="J2" s="372"/>
      <c r="K2" s="372"/>
      <c r="L2" s="372"/>
      <c r="M2" s="372"/>
      <c r="N2" s="372"/>
      <c r="O2" s="372"/>
      <c r="P2" s="372"/>
    </row>
    <row r="3" spans="1:19" s="2" customFormat="1" ht="30" customHeight="1" thickBot="1" x14ac:dyDescent="0.35">
      <c r="A3" s="412" t="s">
        <v>63</v>
      </c>
      <c r="B3" s="412"/>
      <c r="C3" s="426" t="s">
        <v>328</v>
      </c>
      <c r="D3" s="427"/>
      <c r="E3" s="427"/>
      <c r="F3" s="427"/>
      <c r="G3" s="427"/>
      <c r="H3" s="427"/>
      <c r="I3" s="427"/>
      <c r="J3" s="427"/>
      <c r="K3" s="427"/>
      <c r="L3" s="427"/>
      <c r="M3" s="427"/>
      <c r="N3" s="427"/>
      <c r="O3" s="427"/>
      <c r="P3" s="427"/>
      <c r="Q3" s="427"/>
      <c r="R3" s="427"/>
      <c r="S3" s="428"/>
    </row>
    <row r="4" spans="1:19" s="5" customFormat="1" ht="30" customHeight="1" thickBot="1" x14ac:dyDescent="0.35">
      <c r="A4" s="412" t="s">
        <v>64</v>
      </c>
      <c r="B4" s="412"/>
      <c r="C4" s="412"/>
      <c r="D4" s="418"/>
      <c r="E4" s="419" t="s">
        <v>377</v>
      </c>
      <c r="F4" s="420"/>
      <c r="G4" s="420"/>
      <c r="H4" s="421"/>
      <c r="I4" s="4"/>
      <c r="J4" s="4"/>
      <c r="K4" s="4"/>
      <c r="L4" s="4"/>
      <c r="M4" s="4"/>
      <c r="N4" s="4"/>
      <c r="O4" s="4"/>
      <c r="P4" s="4"/>
      <c r="Q4" s="4"/>
      <c r="R4" s="4"/>
      <c r="S4" s="4"/>
    </row>
    <row r="5" spans="1:19" s="5" customFormat="1" ht="30" customHeight="1" thickBot="1" x14ac:dyDescent="0.35">
      <c r="A5" s="412" t="s">
        <v>65</v>
      </c>
      <c r="B5" s="412"/>
      <c r="C5" s="412"/>
      <c r="D5" s="412"/>
      <c r="E5" s="412"/>
      <c r="F5" s="412"/>
      <c r="G5" s="412"/>
      <c r="H5" s="4"/>
      <c r="I5" s="4"/>
      <c r="J5" s="4"/>
      <c r="K5" s="4"/>
      <c r="L5" s="4"/>
      <c r="M5" s="4"/>
      <c r="N5" s="4"/>
      <c r="O5" s="4"/>
      <c r="P5" s="4"/>
      <c r="Q5" s="4"/>
      <c r="R5" s="4"/>
      <c r="S5" s="4"/>
    </row>
    <row r="6" spans="1:19" s="5" customFormat="1" ht="48.75" customHeight="1" thickBot="1" x14ac:dyDescent="0.35">
      <c r="A6" s="414" t="s">
        <v>66</v>
      </c>
      <c r="B6" s="414"/>
      <c r="C6" s="414"/>
      <c r="D6" s="414"/>
      <c r="E6" s="414"/>
      <c r="F6" s="414"/>
      <c r="G6" s="414"/>
      <c r="H6" s="422" t="s">
        <v>379</v>
      </c>
      <c r="I6" s="423"/>
      <c r="J6" s="423"/>
      <c r="K6" s="423"/>
      <c r="L6" s="423"/>
      <c r="M6" s="423"/>
      <c r="N6" s="423"/>
      <c r="O6" s="423"/>
      <c r="P6" s="423"/>
      <c r="Q6" s="424"/>
      <c r="R6" s="4"/>
      <c r="S6" s="4"/>
    </row>
    <row r="7" spans="1:19" s="5" customFormat="1" ht="30" customHeight="1" thickBot="1" x14ac:dyDescent="0.35">
      <c r="A7" s="414" t="s">
        <v>67</v>
      </c>
      <c r="B7" s="414"/>
      <c r="C7" s="414"/>
      <c r="D7" s="414"/>
      <c r="E7" s="414"/>
      <c r="F7" s="414"/>
      <c r="G7" s="414"/>
      <c r="H7" s="425" t="s">
        <v>378</v>
      </c>
      <c r="I7" s="416"/>
      <c r="J7" s="416"/>
      <c r="K7" s="416"/>
      <c r="L7" s="416"/>
      <c r="M7" s="416"/>
      <c r="N7" s="416"/>
      <c r="O7" s="416"/>
      <c r="P7" s="416"/>
      <c r="Q7" s="417"/>
      <c r="R7" s="4"/>
      <c r="S7" s="4"/>
    </row>
    <row r="8" spans="1:19" s="5" customFormat="1" ht="30" customHeight="1" thickBot="1" x14ac:dyDescent="0.35">
      <c r="A8" s="414" t="s">
        <v>68</v>
      </c>
      <c r="B8" s="414"/>
      <c r="C8" s="414"/>
      <c r="D8" s="414"/>
      <c r="E8" s="414"/>
      <c r="F8" s="414"/>
      <c r="G8" s="414"/>
      <c r="H8" s="415" t="s">
        <v>383</v>
      </c>
      <c r="I8" s="416"/>
      <c r="J8" s="416"/>
      <c r="K8" s="416"/>
      <c r="L8" s="416"/>
      <c r="M8" s="416"/>
      <c r="N8" s="416"/>
      <c r="O8" s="416"/>
      <c r="P8" s="416"/>
      <c r="Q8" s="417"/>
      <c r="R8" s="4"/>
      <c r="S8" s="4"/>
    </row>
  </sheetData>
  <mergeCells count="13">
    <mergeCell ref="A1:Q1"/>
    <mergeCell ref="A3:B3"/>
    <mergeCell ref="A2:E2"/>
    <mergeCell ref="A8:G8"/>
    <mergeCell ref="H8:Q8"/>
    <mergeCell ref="A4:D4"/>
    <mergeCell ref="E4:H4"/>
    <mergeCell ref="A5:G5"/>
    <mergeCell ref="A6:G6"/>
    <mergeCell ref="H6:Q6"/>
    <mergeCell ref="A7:G7"/>
    <mergeCell ref="H7:Q7"/>
    <mergeCell ref="C3:S3"/>
  </mergeCells>
  <phoneticPr fontId="10" type="noConversion"/>
  <hyperlinks>
    <hyperlink ref="H7" r:id="rId1" xr:uid="{FBAB3513-4553-420F-8F4C-25357382C32C}"/>
  </hyperlinks>
  <pageMargins left="0.7" right="0.7" top="0.75" bottom="0.75" header="0.3" footer="0.3"/>
  <pageSetup scale="53" orientation="portrait" horizontalDpi="1200" verticalDpi="1200" r:id="rId2"/>
  <headerFooter>
    <oddFooter>&amp;L2017 Six-Year Plan - Institution ID&amp;C&amp;P of &amp;N&amp;RSCHEV - 5/23/17</oddFooter>
  </headerFooter>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16"/>
  <sheetViews>
    <sheetView zoomScale="80" zoomScaleNormal="80" workbookViewId="0">
      <selection activeCell="B15" sqref="B15"/>
    </sheetView>
  </sheetViews>
  <sheetFormatPr defaultRowHeight="12.45" x14ac:dyDescent="0.3"/>
  <cols>
    <col min="1" max="1" width="54.3828125" customWidth="1"/>
    <col min="2" max="6" width="20.61328125" customWidth="1"/>
  </cols>
  <sheetData>
    <row r="1" spans="1:6" ht="22.75" x14ac:dyDescent="0.55000000000000004">
      <c r="A1" s="96" t="s">
        <v>69</v>
      </c>
      <c r="B1" s="97"/>
      <c r="C1" s="97"/>
      <c r="D1" s="97"/>
      <c r="E1" s="97"/>
      <c r="F1" s="160"/>
    </row>
    <row r="2" spans="1:6" ht="22.5" customHeight="1" x14ac:dyDescent="0.3">
      <c r="A2" s="169" t="str">
        <f>'Institution ID'!C3</f>
        <v>Virginia Community College System</v>
      </c>
      <c r="B2" s="169"/>
      <c r="C2" s="169"/>
      <c r="D2" s="169"/>
      <c r="E2" s="169"/>
      <c r="F2" s="160"/>
    </row>
    <row r="3" spans="1:6" ht="15" x14ac:dyDescent="0.35">
      <c r="A3" s="98"/>
      <c r="B3" s="98"/>
      <c r="C3" s="98"/>
      <c r="D3" s="98"/>
      <c r="E3" s="98"/>
      <c r="F3" s="160"/>
    </row>
    <row r="4" spans="1:6" ht="85.5" customHeight="1" x14ac:dyDescent="0.3">
      <c r="A4" s="435" t="s">
        <v>70</v>
      </c>
      <c r="B4" s="436"/>
      <c r="C4" s="436"/>
      <c r="D4" s="436"/>
      <c r="E4" s="436"/>
      <c r="F4" s="436"/>
    </row>
    <row r="5" spans="1:6" ht="15" x14ac:dyDescent="0.35">
      <c r="A5" s="160"/>
      <c r="B5" s="99"/>
      <c r="C5" s="99"/>
      <c r="D5" s="99"/>
      <c r="E5" s="99"/>
      <c r="F5" s="99"/>
    </row>
    <row r="6" spans="1:6" ht="17.600000000000001" x14ac:dyDescent="0.4">
      <c r="A6" s="160"/>
      <c r="B6" s="429" t="s">
        <v>71</v>
      </c>
      <c r="C6" s="430"/>
      <c r="D6" s="430"/>
      <c r="E6" s="430"/>
      <c r="F6" s="431"/>
    </row>
    <row r="7" spans="1:6" ht="15" x14ac:dyDescent="0.35">
      <c r="B7" s="170" t="s">
        <v>72</v>
      </c>
      <c r="C7" s="432" t="s">
        <v>73</v>
      </c>
      <c r="D7" s="433"/>
      <c r="E7" s="433" t="s">
        <v>74</v>
      </c>
      <c r="F7" s="434"/>
    </row>
    <row r="8" spans="1:6" ht="30" x14ac:dyDescent="0.35">
      <c r="B8" s="171" t="s">
        <v>75</v>
      </c>
      <c r="C8" s="172" t="s">
        <v>76</v>
      </c>
      <c r="D8" s="173" t="s">
        <v>77</v>
      </c>
      <c r="E8" s="172" t="s">
        <v>76</v>
      </c>
      <c r="F8" s="173" t="s">
        <v>77</v>
      </c>
    </row>
    <row r="9" spans="1:6" ht="15" x14ac:dyDescent="0.35">
      <c r="A9" s="116" t="s">
        <v>78</v>
      </c>
      <c r="B9" s="388">
        <f>153.53+4.61</f>
        <v>158.14000000000001</v>
      </c>
      <c r="C9" s="396">
        <f>+B9+10.74</f>
        <v>168.88000000000002</v>
      </c>
      <c r="D9" s="117">
        <f>IF(C9=0,"%",C9/B9-1)</f>
        <v>6.7914506133805563E-2</v>
      </c>
      <c r="E9" s="396">
        <f>+C9+6.85</f>
        <v>175.73000000000002</v>
      </c>
      <c r="F9" s="117">
        <f>IF(E9=0,"%",E9/C9-1)</f>
        <v>4.0561345333964827E-2</v>
      </c>
    </row>
    <row r="10" spans="1:6" ht="15" x14ac:dyDescent="0.35">
      <c r="A10" s="114" t="s">
        <v>79</v>
      </c>
      <c r="B10" s="389">
        <v>0</v>
      </c>
      <c r="C10" s="398">
        <f>+B10+0</f>
        <v>0</v>
      </c>
      <c r="D10" s="118" t="str">
        <f t="shared" ref="D10:D15" si="0">IF(C10=0,"%",C10/B10-1)</f>
        <v>%</v>
      </c>
      <c r="E10" s="398">
        <f>+C10+0</f>
        <v>0</v>
      </c>
      <c r="F10" s="118" t="str">
        <f t="shared" ref="F10:F15" si="1">IF(E10=0,"%",E10/C10-1)</f>
        <v>%</v>
      </c>
    </row>
    <row r="11" spans="1:6" ht="15" x14ac:dyDescent="0.35">
      <c r="A11" s="115" t="s">
        <v>80</v>
      </c>
      <c r="B11" s="390">
        <v>0.47</v>
      </c>
      <c r="C11" s="395">
        <f>+B11+0</f>
        <v>0.47</v>
      </c>
      <c r="D11" s="119">
        <f t="shared" si="0"/>
        <v>0</v>
      </c>
      <c r="E11" s="398">
        <f>+C11+0</f>
        <v>0.47</v>
      </c>
      <c r="F11" s="119">
        <f t="shared" si="1"/>
        <v>0</v>
      </c>
    </row>
    <row r="12" spans="1:6" ht="15" x14ac:dyDescent="0.35">
      <c r="A12" s="121" t="s">
        <v>81</v>
      </c>
      <c r="B12" s="391">
        <f>SUM(B9:B11)</f>
        <v>158.61000000000001</v>
      </c>
      <c r="C12" s="397">
        <f>SUM(C9:C11)</f>
        <v>169.35000000000002</v>
      </c>
      <c r="D12" s="119">
        <f t="shared" si="0"/>
        <v>6.7713258937015297E-2</v>
      </c>
      <c r="E12" s="397">
        <f>SUM(E9:E11)</f>
        <v>176.20000000000002</v>
      </c>
      <c r="F12" s="119">
        <f>IF(E12=0,"%",E12/C12-1)</f>
        <v>4.0448774726896897E-2</v>
      </c>
    </row>
    <row r="13" spans="1:6" ht="15" x14ac:dyDescent="0.35">
      <c r="A13" s="114" t="s">
        <v>82</v>
      </c>
      <c r="B13" s="399">
        <f>330.13+4.61</f>
        <v>334.74</v>
      </c>
      <c r="C13" s="400">
        <f>+B13+10.74</f>
        <v>345.48</v>
      </c>
      <c r="D13" s="118">
        <f t="shared" si="0"/>
        <v>3.2084602975443577E-2</v>
      </c>
      <c r="E13" s="396">
        <f>+C13+6.85</f>
        <v>352.33000000000004</v>
      </c>
      <c r="F13" s="118">
        <f t="shared" si="1"/>
        <v>1.982748639573928E-2</v>
      </c>
    </row>
    <row r="14" spans="1:6" ht="15" x14ac:dyDescent="0.35">
      <c r="A14" s="114" t="s">
        <v>83</v>
      </c>
      <c r="B14" s="399">
        <v>23.5</v>
      </c>
      <c r="C14" s="400">
        <f>+B14+0</f>
        <v>23.5</v>
      </c>
      <c r="D14" s="118">
        <f t="shared" si="0"/>
        <v>0</v>
      </c>
      <c r="E14" s="398">
        <f>+C14+0</f>
        <v>23.5</v>
      </c>
      <c r="F14" s="118">
        <f t="shared" si="1"/>
        <v>0</v>
      </c>
    </row>
    <row r="15" spans="1:6" ht="15" x14ac:dyDescent="0.35">
      <c r="A15" s="115" t="s">
        <v>84</v>
      </c>
      <c r="B15" s="401">
        <v>0.47</v>
      </c>
      <c r="C15" s="402">
        <f>+B15+0</f>
        <v>0.47</v>
      </c>
      <c r="D15" s="119">
        <f t="shared" si="0"/>
        <v>0</v>
      </c>
      <c r="E15" s="398">
        <f>+C15+0</f>
        <v>0.47</v>
      </c>
      <c r="F15" s="119">
        <f t="shared" si="1"/>
        <v>0</v>
      </c>
    </row>
    <row r="16" spans="1:6" ht="15" x14ac:dyDescent="0.35">
      <c r="A16" s="121" t="s">
        <v>85</v>
      </c>
      <c r="B16" s="391">
        <f>SUM(B13:B15)</f>
        <v>358.71000000000004</v>
      </c>
      <c r="C16" s="122">
        <f>SUM(C13:C15)</f>
        <v>369.45000000000005</v>
      </c>
      <c r="D16" s="119">
        <f t="shared" ref="D16" si="2">IF(C16=0,"%",C16/B16-1)</f>
        <v>2.9940620556995867E-2</v>
      </c>
      <c r="E16" s="397">
        <f>SUM(E13:E15)</f>
        <v>376.30000000000007</v>
      </c>
      <c r="F16" s="119">
        <f>IF(E16=0,"%",E16/C16-1)</f>
        <v>1.8541074570307181E-2</v>
      </c>
    </row>
  </sheetData>
  <mergeCells count="4">
    <mergeCell ref="B6:F6"/>
    <mergeCell ref="C7:D7"/>
    <mergeCell ref="E7:F7"/>
    <mergeCell ref="A4:F4"/>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R38"/>
  <sheetViews>
    <sheetView zoomScaleNormal="100" zoomScalePageLayoutView="150" workbookViewId="0">
      <selection activeCell="C25" sqref="C25"/>
    </sheetView>
  </sheetViews>
  <sheetFormatPr defaultColWidth="8.61328125" defaultRowHeight="12.45" x14ac:dyDescent="0.3"/>
  <cols>
    <col min="1" max="1" width="39.61328125" customWidth="1"/>
    <col min="2" max="2" width="19.15234375" bestFit="1" customWidth="1"/>
    <col min="3" max="3" width="20.61328125" customWidth="1"/>
    <col min="4" max="4" width="9.69140625" style="149" customWidth="1"/>
    <col min="5" max="5" width="20.61328125" customWidth="1"/>
    <col min="6" max="6" width="7.3828125" style="149" customWidth="1"/>
    <col min="7" max="7" width="20.61328125" customWidth="1"/>
    <col min="8" max="8" width="7.3828125" style="149" customWidth="1"/>
    <col min="9" max="9" width="23.15234375" bestFit="1" customWidth="1"/>
    <col min="10" max="10" width="7.3828125" style="149" customWidth="1"/>
    <col min="11" max="11" width="23.15234375" bestFit="1" customWidth="1"/>
    <col min="12" max="12" width="7.3828125" style="149" customWidth="1"/>
    <col min="13" max="13" width="23.15234375" bestFit="1" customWidth="1"/>
    <col min="14" max="14" width="7.3828125" style="149" customWidth="1"/>
    <col min="15" max="15" width="23.15234375" bestFit="1" customWidth="1"/>
    <col min="16" max="16" width="7.3828125" style="149" customWidth="1"/>
    <col min="17" max="17" width="15.15234375" bestFit="1" customWidth="1"/>
  </cols>
  <sheetData>
    <row r="1" spans="1:18" s="1" customFormat="1" ht="20.149999999999999" customHeight="1" x14ac:dyDescent="0.3">
      <c r="A1" s="55" t="s">
        <v>86</v>
      </c>
      <c r="B1" s="55"/>
      <c r="C1" s="55"/>
      <c r="D1" s="144"/>
      <c r="E1" s="55"/>
      <c r="F1" s="144"/>
      <c r="G1" s="55"/>
      <c r="H1" s="144"/>
      <c r="J1" s="144"/>
      <c r="L1" s="144"/>
      <c r="N1" s="144"/>
      <c r="P1" s="144"/>
    </row>
    <row r="2" spans="1:18" s="1" customFormat="1" ht="20.149999999999999" customHeight="1" x14ac:dyDescent="0.3">
      <c r="A2" s="437" t="str">
        <f>'Institution ID'!C3</f>
        <v>Virginia Community College System</v>
      </c>
      <c r="B2" s="437"/>
      <c r="C2" s="437"/>
      <c r="D2" s="437"/>
      <c r="E2" s="437"/>
      <c r="F2" s="437"/>
      <c r="G2" s="437"/>
      <c r="H2" s="373"/>
    </row>
    <row r="3" spans="1:18" s="2" customFormat="1" ht="147" customHeight="1" x14ac:dyDescent="0.3">
      <c r="A3" s="439" t="s">
        <v>87</v>
      </c>
      <c r="B3" s="440"/>
      <c r="C3" s="440"/>
      <c r="D3" s="440"/>
      <c r="E3" s="440"/>
      <c r="F3" s="440"/>
      <c r="G3" s="441"/>
      <c r="H3" s="143"/>
      <c r="I3" s="442" t="s">
        <v>88</v>
      </c>
      <c r="J3" s="443"/>
      <c r="K3" s="443"/>
      <c r="L3" s="443"/>
      <c r="M3" s="443"/>
      <c r="N3" s="443"/>
      <c r="O3" s="444"/>
    </row>
    <row r="4" spans="1:18" ht="15" customHeight="1" x14ac:dyDescent="0.3">
      <c r="A4" s="438" t="s">
        <v>89</v>
      </c>
      <c r="B4" s="102" t="s">
        <v>90</v>
      </c>
      <c r="C4" s="102" t="s">
        <v>91</v>
      </c>
      <c r="D4" s="145"/>
      <c r="E4" s="102" t="s">
        <v>92</v>
      </c>
      <c r="F4" s="145"/>
      <c r="G4" s="102" t="s">
        <v>93</v>
      </c>
      <c r="H4" s="145"/>
      <c r="I4" s="102" t="s">
        <v>94</v>
      </c>
      <c r="J4" s="145"/>
      <c r="K4" s="102" t="s">
        <v>95</v>
      </c>
      <c r="L4" s="145"/>
      <c r="M4" s="127" t="s">
        <v>96</v>
      </c>
      <c r="N4" s="145"/>
      <c r="O4" s="102" t="s">
        <v>97</v>
      </c>
      <c r="P4" s="145"/>
    </row>
    <row r="5" spans="1:18" ht="30" customHeight="1" x14ac:dyDescent="0.3">
      <c r="A5" s="438"/>
      <c r="B5" s="103" t="s">
        <v>98</v>
      </c>
      <c r="C5" s="103" t="s">
        <v>98</v>
      </c>
      <c r="D5" s="150" t="s">
        <v>99</v>
      </c>
      <c r="E5" s="103" t="s">
        <v>100</v>
      </c>
      <c r="F5" s="150" t="s">
        <v>99</v>
      </c>
      <c r="G5" s="103" t="s">
        <v>100</v>
      </c>
      <c r="H5" s="150" t="s">
        <v>99</v>
      </c>
      <c r="I5" s="103" t="s">
        <v>101</v>
      </c>
      <c r="J5" s="150" t="s">
        <v>99</v>
      </c>
      <c r="K5" s="103" t="s">
        <v>101</v>
      </c>
      <c r="L5" s="150" t="s">
        <v>99</v>
      </c>
      <c r="M5" s="103" t="s">
        <v>101</v>
      </c>
      <c r="N5" s="150" t="s">
        <v>99</v>
      </c>
      <c r="O5" s="103" t="s">
        <v>101</v>
      </c>
      <c r="P5" s="150" t="s">
        <v>99</v>
      </c>
      <c r="Q5" s="124" t="s">
        <v>102</v>
      </c>
      <c r="R5" s="151" t="s">
        <v>103</v>
      </c>
    </row>
    <row r="6" spans="1:18" ht="15" customHeight="1" x14ac:dyDescent="0.3">
      <c r="A6" s="104" t="s">
        <v>104</v>
      </c>
      <c r="B6" s="104"/>
      <c r="C6" s="104"/>
      <c r="D6" s="146"/>
      <c r="E6" s="104"/>
      <c r="F6" s="146"/>
      <c r="G6" s="104"/>
      <c r="H6" s="146"/>
      <c r="J6" s="146"/>
      <c r="L6" s="146"/>
      <c r="N6" s="146"/>
      <c r="O6" s="120"/>
      <c r="P6" s="146"/>
      <c r="Q6" s="123"/>
      <c r="R6" s="152"/>
    </row>
    <row r="7" spans="1:18" ht="15" customHeight="1" x14ac:dyDescent="0.3">
      <c r="A7" s="105" t="s">
        <v>105</v>
      </c>
      <c r="B7" s="106">
        <v>365463645</v>
      </c>
      <c r="C7" s="106">
        <v>370426562.60219502</v>
      </c>
      <c r="D7" s="146">
        <f>IF(B7=0,"%",C7/B7-1)</f>
        <v>1.3579784665571859E-2</v>
      </c>
      <c r="E7" s="106">
        <v>385701183</v>
      </c>
      <c r="F7" s="146">
        <f>IF(C7=0,"%",E7/C7-1)</f>
        <v>4.123521890682702E-2</v>
      </c>
      <c r="G7" s="106">
        <v>395971632</v>
      </c>
      <c r="H7" s="146">
        <f>IF(E7=0,"%",G7/E7-1)</f>
        <v>2.6627994552975043E-2</v>
      </c>
      <c r="I7" s="106">
        <v>393169078</v>
      </c>
      <c r="J7" s="146">
        <f>IF(G7=0,"%",I7/G7-1)</f>
        <v>-7.0776635837387358E-3</v>
      </c>
      <c r="K7" s="106">
        <v>389413145</v>
      </c>
      <c r="L7" s="146">
        <f>IF(I7=0,"%",K7/I7-1)</f>
        <v>-9.5529715081000832E-3</v>
      </c>
      <c r="M7" s="128">
        <v>386387607</v>
      </c>
      <c r="N7" s="146">
        <f>IF(K7=0,"%",M7/K7-1)</f>
        <v>-7.7694809198082249E-3</v>
      </c>
      <c r="O7" s="381">
        <v>383949576</v>
      </c>
      <c r="P7" s="146">
        <f>IF(M7=0,"%",O7/M7-1)</f>
        <v>-6.3098064115705288E-3</v>
      </c>
      <c r="Q7" s="123" t="str">
        <f t="shared" ref="Q7:Q26" si="0">IF(O13=0,"%",O13/B13-1)</f>
        <v>%</v>
      </c>
      <c r="R7" s="152">
        <f t="shared" ref="R7:R26" si="1">IF(B7=0,"%",(O7/B7)^(1/7)-1)</f>
        <v>7.0741075045859247E-3</v>
      </c>
    </row>
    <row r="8" spans="1:18" ht="15" customHeight="1" x14ac:dyDescent="0.3">
      <c r="A8" s="105" t="s">
        <v>106</v>
      </c>
      <c r="B8" s="106">
        <v>33728473</v>
      </c>
      <c r="C8" s="106">
        <v>36094144.14813678</v>
      </c>
      <c r="D8" s="146">
        <f>IF(B8=0,"%",C8/B8-1)</f>
        <v>7.0138697003471862E-2</v>
      </c>
      <c r="E8" s="106">
        <v>36377647</v>
      </c>
      <c r="F8" s="146">
        <f>IF(C8=0,"%",E8/C8-1)</f>
        <v>7.854538694688884E-3</v>
      </c>
      <c r="G8" s="106">
        <v>36550461</v>
      </c>
      <c r="H8" s="146">
        <f>IF(E8=0,"%",G8/E8-1)</f>
        <v>4.7505546469237547E-3</v>
      </c>
      <c r="I8" s="106">
        <v>36225060</v>
      </c>
      <c r="J8" s="146">
        <f>IF(G8=0,"%",I8/G8-1)</f>
        <v>-8.90278784719023E-3</v>
      </c>
      <c r="K8" s="106">
        <v>35879004</v>
      </c>
      <c r="L8" s="146">
        <f>IF(I8=0,"%",K8/I8-1)</f>
        <v>-9.5529448398429251E-3</v>
      </c>
      <c r="M8" s="128">
        <v>35600242</v>
      </c>
      <c r="N8" s="146">
        <f>IF(K8=0,"%",M8/K8-1)</f>
        <v>-7.7695021857351332E-3</v>
      </c>
      <c r="O8" s="381">
        <v>35375612</v>
      </c>
      <c r="P8" s="146">
        <f>IF(M8=0,"%",O8/M8-1)</f>
        <v>-6.3097885682912302E-3</v>
      </c>
      <c r="Q8" s="123" t="str">
        <f t="shared" si="0"/>
        <v>%</v>
      </c>
      <c r="R8" s="152">
        <f t="shared" si="1"/>
        <v>6.8347192965152459E-3</v>
      </c>
    </row>
    <row r="9" spans="1:18" ht="15" customHeight="1" x14ac:dyDescent="0.3">
      <c r="A9" s="105" t="s">
        <v>107</v>
      </c>
      <c r="B9" s="106">
        <f>0</f>
        <v>0</v>
      </c>
      <c r="C9" s="106">
        <f>0</f>
        <v>0</v>
      </c>
      <c r="D9" s="146" t="str">
        <f t="shared" ref="D9:D26" si="2">IF(B9=0,"%",C9/B9-1)</f>
        <v>%</v>
      </c>
      <c r="E9" s="106">
        <f>0</f>
        <v>0</v>
      </c>
      <c r="F9" s="146" t="str">
        <f t="shared" ref="F9:P26" si="3">IF(C9=0,"%",E9/C9-1)</f>
        <v>%</v>
      </c>
      <c r="G9" s="106">
        <f>0</f>
        <v>0</v>
      </c>
      <c r="H9" s="146" t="str">
        <f t="shared" si="3"/>
        <v>%</v>
      </c>
      <c r="I9" s="106">
        <f>0</f>
        <v>0</v>
      </c>
      <c r="J9" s="146" t="str">
        <f t="shared" si="3"/>
        <v>%</v>
      </c>
      <c r="K9" s="106">
        <f>0</f>
        <v>0</v>
      </c>
      <c r="L9" s="146" t="str">
        <f t="shared" si="3"/>
        <v>%</v>
      </c>
      <c r="M9" s="128">
        <f>0</f>
        <v>0</v>
      </c>
      <c r="N9" s="146" t="str">
        <f t="shared" si="3"/>
        <v>%</v>
      </c>
      <c r="O9" s="106">
        <f>0</f>
        <v>0</v>
      </c>
      <c r="P9" s="146" t="str">
        <f t="shared" si="3"/>
        <v>%</v>
      </c>
      <c r="Q9" s="123" t="str">
        <f t="shared" si="0"/>
        <v>%</v>
      </c>
      <c r="R9" s="152" t="str">
        <f t="shared" si="1"/>
        <v>%</v>
      </c>
    </row>
    <row r="10" spans="1:18" ht="15" customHeight="1" x14ac:dyDescent="0.3">
      <c r="A10" s="105" t="s">
        <v>108</v>
      </c>
      <c r="B10" s="106">
        <f>0</f>
        <v>0</v>
      </c>
      <c r="C10" s="106">
        <f>0</f>
        <v>0</v>
      </c>
      <c r="D10" s="146" t="str">
        <f t="shared" si="2"/>
        <v>%</v>
      </c>
      <c r="E10" s="106">
        <f>0</f>
        <v>0</v>
      </c>
      <c r="F10" s="146" t="str">
        <f t="shared" si="3"/>
        <v>%</v>
      </c>
      <c r="G10" s="106">
        <f>0</f>
        <v>0</v>
      </c>
      <c r="H10" s="146" t="str">
        <f t="shared" si="3"/>
        <v>%</v>
      </c>
      <c r="I10" s="106"/>
      <c r="J10" s="146" t="str">
        <f t="shared" si="3"/>
        <v>%</v>
      </c>
      <c r="K10" s="106"/>
      <c r="L10" s="146" t="str">
        <f t="shared" si="3"/>
        <v>%</v>
      </c>
      <c r="M10" s="106"/>
      <c r="N10" s="146" t="str">
        <f t="shared" si="3"/>
        <v>%</v>
      </c>
      <c r="O10" s="106"/>
      <c r="P10" s="146" t="str">
        <f t="shared" si="3"/>
        <v>%</v>
      </c>
      <c r="Q10" s="123" t="str">
        <f t="shared" si="0"/>
        <v>%</v>
      </c>
      <c r="R10" s="152" t="str">
        <f t="shared" si="1"/>
        <v>%</v>
      </c>
    </row>
    <row r="11" spans="1:18" ht="15" customHeight="1" x14ac:dyDescent="0.3">
      <c r="A11" s="105" t="s">
        <v>109</v>
      </c>
      <c r="B11" s="106">
        <f>0</f>
        <v>0</v>
      </c>
      <c r="C11" s="106">
        <f>0</f>
        <v>0</v>
      </c>
      <c r="D11" s="146" t="str">
        <f t="shared" si="2"/>
        <v>%</v>
      </c>
      <c r="E11" s="106">
        <f>0</f>
        <v>0</v>
      </c>
      <c r="F11" s="146" t="str">
        <f t="shared" si="3"/>
        <v>%</v>
      </c>
      <c r="G11" s="106">
        <f>0</f>
        <v>0</v>
      </c>
      <c r="H11" s="146" t="str">
        <f t="shared" si="3"/>
        <v>%</v>
      </c>
      <c r="I11" s="106">
        <f>0</f>
        <v>0</v>
      </c>
      <c r="J11" s="146" t="str">
        <f t="shared" si="3"/>
        <v>%</v>
      </c>
      <c r="K11" s="106">
        <f>0</f>
        <v>0</v>
      </c>
      <c r="L11" s="146" t="str">
        <f t="shared" si="3"/>
        <v>%</v>
      </c>
      <c r="M11" s="128">
        <f>0</f>
        <v>0</v>
      </c>
      <c r="N11" s="146" t="str">
        <f t="shared" si="3"/>
        <v>%</v>
      </c>
      <c r="O11" s="106">
        <f>0</f>
        <v>0</v>
      </c>
      <c r="P11" s="146" t="str">
        <f t="shared" si="3"/>
        <v>%</v>
      </c>
      <c r="Q11" s="123" t="str">
        <f t="shared" si="0"/>
        <v>%</v>
      </c>
      <c r="R11" s="152" t="str">
        <f t="shared" si="1"/>
        <v>%</v>
      </c>
    </row>
    <row r="12" spans="1:18" ht="15" customHeight="1" x14ac:dyDescent="0.3">
      <c r="A12" s="105" t="s">
        <v>110</v>
      </c>
      <c r="B12" s="106">
        <f>0</f>
        <v>0</v>
      </c>
      <c r="C12" s="106">
        <f>0</f>
        <v>0</v>
      </c>
      <c r="D12" s="146" t="str">
        <f t="shared" si="2"/>
        <v>%</v>
      </c>
      <c r="E12" s="106">
        <f>0</f>
        <v>0</v>
      </c>
      <c r="F12" s="146" t="str">
        <f t="shared" si="3"/>
        <v>%</v>
      </c>
      <c r="G12" s="106">
        <f>0</f>
        <v>0</v>
      </c>
      <c r="H12" s="146" t="str">
        <f t="shared" si="3"/>
        <v>%</v>
      </c>
      <c r="I12" s="106">
        <f>0</f>
        <v>0</v>
      </c>
      <c r="J12" s="146" t="str">
        <f t="shared" si="3"/>
        <v>%</v>
      </c>
      <c r="K12" s="106">
        <f>0</f>
        <v>0</v>
      </c>
      <c r="L12" s="146" t="str">
        <f t="shared" si="3"/>
        <v>%</v>
      </c>
      <c r="M12" s="128">
        <f>0</f>
        <v>0</v>
      </c>
      <c r="N12" s="146" t="str">
        <f t="shared" si="3"/>
        <v>%</v>
      </c>
      <c r="O12" s="106">
        <f>0</f>
        <v>0</v>
      </c>
      <c r="P12" s="146" t="str">
        <f t="shared" si="3"/>
        <v>%</v>
      </c>
      <c r="Q12" s="123" t="str">
        <f t="shared" si="0"/>
        <v>%</v>
      </c>
      <c r="R12" s="152" t="str">
        <f t="shared" si="1"/>
        <v>%</v>
      </c>
    </row>
    <row r="13" spans="1:18" ht="15" customHeight="1" x14ac:dyDescent="0.3">
      <c r="A13" s="105" t="s">
        <v>111</v>
      </c>
      <c r="B13" s="106">
        <f>0</f>
        <v>0</v>
      </c>
      <c r="C13" s="106">
        <f>0</f>
        <v>0</v>
      </c>
      <c r="D13" s="146" t="str">
        <f t="shared" si="2"/>
        <v>%</v>
      </c>
      <c r="E13" s="106">
        <f>0</f>
        <v>0</v>
      </c>
      <c r="F13" s="146" t="str">
        <f t="shared" si="3"/>
        <v>%</v>
      </c>
      <c r="G13" s="106">
        <f>0</f>
        <v>0</v>
      </c>
      <c r="H13" s="146" t="str">
        <f t="shared" si="3"/>
        <v>%</v>
      </c>
      <c r="I13" s="106">
        <f>0</f>
        <v>0</v>
      </c>
      <c r="J13" s="146" t="str">
        <f t="shared" si="3"/>
        <v>%</v>
      </c>
      <c r="K13" s="106">
        <f>0</f>
        <v>0</v>
      </c>
      <c r="L13" s="146" t="str">
        <f t="shared" si="3"/>
        <v>%</v>
      </c>
      <c r="M13" s="128">
        <f>0</f>
        <v>0</v>
      </c>
      <c r="N13" s="146" t="str">
        <f t="shared" si="3"/>
        <v>%</v>
      </c>
      <c r="O13" s="106">
        <f>0</f>
        <v>0</v>
      </c>
      <c r="P13" s="146" t="str">
        <f t="shared" si="3"/>
        <v>%</v>
      </c>
      <c r="Q13" s="123" t="str">
        <f t="shared" si="0"/>
        <v>%</v>
      </c>
      <c r="R13" s="152" t="str">
        <f t="shared" si="1"/>
        <v>%</v>
      </c>
    </row>
    <row r="14" spans="1:18" ht="15" customHeight="1" x14ac:dyDescent="0.3">
      <c r="A14" s="105" t="s">
        <v>112</v>
      </c>
      <c r="B14" s="106">
        <f>0</f>
        <v>0</v>
      </c>
      <c r="C14" s="106">
        <f>0</f>
        <v>0</v>
      </c>
      <c r="D14" s="146" t="str">
        <f t="shared" si="2"/>
        <v>%</v>
      </c>
      <c r="E14" s="106">
        <f>0</f>
        <v>0</v>
      </c>
      <c r="F14" s="146" t="str">
        <f t="shared" si="3"/>
        <v>%</v>
      </c>
      <c r="G14" s="106">
        <f>0</f>
        <v>0</v>
      </c>
      <c r="H14" s="146" t="str">
        <f t="shared" si="3"/>
        <v>%</v>
      </c>
      <c r="I14" s="106">
        <f>0</f>
        <v>0</v>
      </c>
      <c r="J14" s="146" t="str">
        <f t="shared" si="3"/>
        <v>%</v>
      </c>
      <c r="K14" s="106">
        <f>0</f>
        <v>0</v>
      </c>
      <c r="L14" s="146" t="str">
        <f t="shared" si="3"/>
        <v>%</v>
      </c>
      <c r="M14" s="128">
        <f>0</f>
        <v>0</v>
      </c>
      <c r="N14" s="146" t="str">
        <f t="shared" si="3"/>
        <v>%</v>
      </c>
      <c r="O14" s="106">
        <f>0</f>
        <v>0</v>
      </c>
      <c r="P14" s="146" t="str">
        <f t="shared" si="3"/>
        <v>%</v>
      </c>
      <c r="Q14" s="123" t="str">
        <f t="shared" si="0"/>
        <v>%</v>
      </c>
      <c r="R14" s="152" t="str">
        <f t="shared" si="1"/>
        <v>%</v>
      </c>
    </row>
    <row r="15" spans="1:18" ht="15" customHeight="1" x14ac:dyDescent="0.3">
      <c r="A15" s="105" t="s">
        <v>113</v>
      </c>
      <c r="B15" s="106">
        <f>0</f>
        <v>0</v>
      </c>
      <c r="C15" s="106">
        <f>0</f>
        <v>0</v>
      </c>
      <c r="D15" s="146" t="str">
        <f t="shared" si="2"/>
        <v>%</v>
      </c>
      <c r="E15" s="106">
        <f>0</f>
        <v>0</v>
      </c>
      <c r="F15" s="146" t="str">
        <f t="shared" si="3"/>
        <v>%</v>
      </c>
      <c r="G15" s="106">
        <f>0</f>
        <v>0</v>
      </c>
      <c r="H15" s="146" t="str">
        <f t="shared" si="3"/>
        <v>%</v>
      </c>
      <c r="I15" s="106">
        <f>0</f>
        <v>0</v>
      </c>
      <c r="J15" s="146" t="str">
        <f t="shared" si="3"/>
        <v>%</v>
      </c>
      <c r="K15" s="106">
        <f>0</f>
        <v>0</v>
      </c>
      <c r="L15" s="146" t="str">
        <f t="shared" si="3"/>
        <v>%</v>
      </c>
      <c r="M15" s="128">
        <f>0</f>
        <v>0</v>
      </c>
      <c r="N15" s="146" t="str">
        <f t="shared" si="3"/>
        <v>%</v>
      </c>
      <c r="O15" s="106">
        <f>0</f>
        <v>0</v>
      </c>
      <c r="P15" s="146" t="str">
        <f t="shared" si="3"/>
        <v>%</v>
      </c>
      <c r="Q15" s="123" t="str">
        <f t="shared" si="0"/>
        <v>%</v>
      </c>
      <c r="R15" s="152" t="str">
        <f t="shared" si="1"/>
        <v>%</v>
      </c>
    </row>
    <row r="16" spans="1:18" ht="15" customHeight="1" x14ac:dyDescent="0.3">
      <c r="A16" s="105" t="s">
        <v>114</v>
      </c>
      <c r="B16" s="106">
        <f>0</f>
        <v>0</v>
      </c>
      <c r="C16" s="106">
        <f>0</f>
        <v>0</v>
      </c>
      <c r="D16" s="146" t="str">
        <f t="shared" si="2"/>
        <v>%</v>
      </c>
      <c r="E16" s="106">
        <f>0</f>
        <v>0</v>
      </c>
      <c r="F16" s="146" t="str">
        <f t="shared" si="3"/>
        <v>%</v>
      </c>
      <c r="G16" s="106">
        <f>0</f>
        <v>0</v>
      </c>
      <c r="H16" s="146" t="str">
        <f t="shared" si="3"/>
        <v>%</v>
      </c>
      <c r="I16" s="106">
        <f>0</f>
        <v>0</v>
      </c>
      <c r="J16" s="146" t="str">
        <f t="shared" si="3"/>
        <v>%</v>
      </c>
      <c r="K16" s="106">
        <f>0</f>
        <v>0</v>
      </c>
      <c r="L16" s="146" t="str">
        <f t="shared" si="3"/>
        <v>%</v>
      </c>
      <c r="M16" s="128">
        <f>0</f>
        <v>0</v>
      </c>
      <c r="N16" s="146" t="str">
        <f t="shared" si="3"/>
        <v>%</v>
      </c>
      <c r="O16" s="106">
        <f>0</f>
        <v>0</v>
      </c>
      <c r="P16" s="146" t="str">
        <f t="shared" si="3"/>
        <v>%</v>
      </c>
      <c r="Q16" s="123" t="str">
        <f t="shared" si="0"/>
        <v>%</v>
      </c>
      <c r="R16" s="152" t="str">
        <f t="shared" si="1"/>
        <v>%</v>
      </c>
    </row>
    <row r="17" spans="1:18" ht="15" customHeight="1" x14ac:dyDescent="0.3">
      <c r="A17" s="105" t="s">
        <v>115</v>
      </c>
      <c r="B17" s="106">
        <f>0</f>
        <v>0</v>
      </c>
      <c r="C17" s="106">
        <f>0</f>
        <v>0</v>
      </c>
      <c r="D17" s="146" t="str">
        <f t="shared" si="2"/>
        <v>%</v>
      </c>
      <c r="E17" s="106">
        <f>0</f>
        <v>0</v>
      </c>
      <c r="F17" s="146" t="str">
        <f t="shared" si="3"/>
        <v>%</v>
      </c>
      <c r="G17" s="106">
        <f>0</f>
        <v>0</v>
      </c>
      <c r="H17" s="146" t="str">
        <f t="shared" si="3"/>
        <v>%</v>
      </c>
      <c r="I17" s="106">
        <f>0</f>
        <v>0</v>
      </c>
      <c r="J17" s="146" t="str">
        <f t="shared" si="3"/>
        <v>%</v>
      </c>
      <c r="K17" s="106">
        <f>0</f>
        <v>0</v>
      </c>
      <c r="L17" s="146" t="str">
        <f t="shared" si="3"/>
        <v>%</v>
      </c>
      <c r="M17" s="128">
        <f>0</f>
        <v>0</v>
      </c>
      <c r="N17" s="146" t="str">
        <f t="shared" si="3"/>
        <v>%</v>
      </c>
      <c r="O17" s="106">
        <f>0</f>
        <v>0</v>
      </c>
      <c r="P17" s="146" t="str">
        <f t="shared" si="3"/>
        <v>%</v>
      </c>
      <c r="Q17" s="123">
        <f t="shared" si="0"/>
        <v>0</v>
      </c>
      <c r="R17" s="152" t="str">
        <f t="shared" si="1"/>
        <v>%</v>
      </c>
    </row>
    <row r="18" spans="1:18" ht="15" customHeight="1" x14ac:dyDescent="0.3">
      <c r="A18" s="105" t="s">
        <v>116</v>
      </c>
      <c r="B18" s="106">
        <f>0</f>
        <v>0</v>
      </c>
      <c r="C18" s="106">
        <f>0</f>
        <v>0</v>
      </c>
      <c r="D18" s="146" t="str">
        <f t="shared" si="2"/>
        <v>%</v>
      </c>
      <c r="E18" s="106">
        <f>0</f>
        <v>0</v>
      </c>
      <c r="F18" s="146" t="str">
        <f t="shared" si="3"/>
        <v>%</v>
      </c>
      <c r="G18" s="106">
        <f>0</f>
        <v>0</v>
      </c>
      <c r="H18" s="146" t="str">
        <f t="shared" si="3"/>
        <v>%</v>
      </c>
      <c r="I18" s="106">
        <f>0</f>
        <v>0</v>
      </c>
      <c r="J18" s="146" t="str">
        <f t="shared" si="3"/>
        <v>%</v>
      </c>
      <c r="K18" s="106">
        <f>0</f>
        <v>0</v>
      </c>
      <c r="L18" s="146" t="str">
        <f t="shared" si="3"/>
        <v>%</v>
      </c>
      <c r="M18" s="128">
        <f>0</f>
        <v>0</v>
      </c>
      <c r="N18" s="146" t="str">
        <f t="shared" si="3"/>
        <v>%</v>
      </c>
      <c r="O18" s="106">
        <f>0</f>
        <v>0</v>
      </c>
      <c r="P18" s="146" t="str">
        <f t="shared" si="3"/>
        <v>%</v>
      </c>
      <c r="Q18" s="123">
        <f t="shared" ref="Q18:Q23" si="4">IF(O26=0,"%",O26/B26-1)</f>
        <v>2.4574099830578566E-2</v>
      </c>
      <c r="R18" s="152" t="str">
        <f t="shared" si="1"/>
        <v>%</v>
      </c>
    </row>
    <row r="19" spans="1:18" ht="15" customHeight="1" x14ac:dyDescent="0.3">
      <c r="A19" s="105" t="s">
        <v>117</v>
      </c>
      <c r="B19" s="106">
        <f>0</f>
        <v>0</v>
      </c>
      <c r="C19" s="106">
        <f>0</f>
        <v>0</v>
      </c>
      <c r="D19" s="146" t="str">
        <f t="shared" si="2"/>
        <v>%</v>
      </c>
      <c r="E19" s="106">
        <f>0</f>
        <v>0</v>
      </c>
      <c r="F19" s="146" t="str">
        <f t="shared" si="3"/>
        <v>%</v>
      </c>
      <c r="G19" s="106">
        <f>0</f>
        <v>0</v>
      </c>
      <c r="H19" s="146" t="str">
        <f t="shared" si="3"/>
        <v>%</v>
      </c>
      <c r="I19" s="106">
        <f>0</f>
        <v>0</v>
      </c>
      <c r="J19" s="146" t="str">
        <f t="shared" si="3"/>
        <v>%</v>
      </c>
      <c r="K19" s="106">
        <f>0</f>
        <v>0</v>
      </c>
      <c r="L19" s="146" t="str">
        <f t="shared" si="3"/>
        <v>%</v>
      </c>
      <c r="M19" s="128">
        <f>0</f>
        <v>0</v>
      </c>
      <c r="N19" s="146" t="str">
        <f t="shared" si="3"/>
        <v>%</v>
      </c>
      <c r="O19" s="106">
        <f>0</f>
        <v>0</v>
      </c>
      <c r="P19" s="146" t="str">
        <f t="shared" si="3"/>
        <v>%</v>
      </c>
      <c r="Q19" s="123" t="str">
        <f t="shared" si="4"/>
        <v>%</v>
      </c>
      <c r="R19" s="152" t="str">
        <f t="shared" si="1"/>
        <v>%</v>
      </c>
    </row>
    <row r="20" spans="1:18" ht="15" customHeight="1" x14ac:dyDescent="0.3">
      <c r="A20" s="105" t="s">
        <v>118</v>
      </c>
      <c r="B20" s="106">
        <f>0</f>
        <v>0</v>
      </c>
      <c r="C20" s="106">
        <f>0</f>
        <v>0</v>
      </c>
      <c r="D20" s="146" t="str">
        <f t="shared" si="2"/>
        <v>%</v>
      </c>
      <c r="E20" s="106">
        <f>0</f>
        <v>0</v>
      </c>
      <c r="F20" s="146" t="str">
        <f t="shared" si="3"/>
        <v>%</v>
      </c>
      <c r="G20" s="106">
        <f>0</f>
        <v>0</v>
      </c>
      <c r="H20" s="146" t="str">
        <f t="shared" si="3"/>
        <v>%</v>
      </c>
      <c r="I20" s="106">
        <f>0</f>
        <v>0</v>
      </c>
      <c r="J20" s="146" t="str">
        <f t="shared" si="3"/>
        <v>%</v>
      </c>
      <c r="K20" s="106">
        <f>0</f>
        <v>0</v>
      </c>
      <c r="L20" s="146" t="str">
        <f t="shared" si="3"/>
        <v>%</v>
      </c>
      <c r="M20" s="128">
        <f>0</f>
        <v>0</v>
      </c>
      <c r="N20" s="146" t="str">
        <f t="shared" si="3"/>
        <v>%</v>
      </c>
      <c r="O20" s="106">
        <f>0</f>
        <v>0</v>
      </c>
      <c r="P20" s="146" t="str">
        <f t="shared" si="3"/>
        <v>%</v>
      </c>
      <c r="Q20" s="123" t="str">
        <f t="shared" si="4"/>
        <v>%</v>
      </c>
      <c r="R20" s="152" t="str">
        <f t="shared" si="1"/>
        <v>%</v>
      </c>
    </row>
    <row r="21" spans="1:18" ht="15" customHeight="1" x14ac:dyDescent="0.3">
      <c r="A21" s="125" t="s">
        <v>119</v>
      </c>
      <c r="B21" s="108">
        <f>SUM(B11,B13,B15,B17,B19)</f>
        <v>0</v>
      </c>
      <c r="C21" s="108">
        <f t="shared" ref="C21:G21" si="5">SUM(C11,C13,C15,C17,C19)</f>
        <v>0</v>
      </c>
      <c r="D21" s="146" t="str">
        <f t="shared" si="2"/>
        <v>%</v>
      </c>
      <c r="E21" s="108">
        <f t="shared" si="5"/>
        <v>0</v>
      </c>
      <c r="F21" s="146" t="str">
        <f t="shared" si="3"/>
        <v>%</v>
      </c>
      <c r="G21" s="108">
        <f t="shared" si="5"/>
        <v>0</v>
      </c>
      <c r="H21" s="146" t="str">
        <f t="shared" si="3"/>
        <v>%</v>
      </c>
      <c r="I21" s="108">
        <f t="shared" ref="I21:O21" si="6">SUM(I11,I13,I15,I17,I19)</f>
        <v>0</v>
      </c>
      <c r="J21" s="146" t="str">
        <f t="shared" si="3"/>
        <v>%</v>
      </c>
      <c r="K21" s="108">
        <f t="shared" si="6"/>
        <v>0</v>
      </c>
      <c r="L21" s="146" t="str">
        <f t="shared" si="3"/>
        <v>%</v>
      </c>
      <c r="M21" s="129">
        <f t="shared" si="6"/>
        <v>0</v>
      </c>
      <c r="N21" s="146" t="str">
        <f t="shared" si="3"/>
        <v>%</v>
      </c>
      <c r="O21" s="108">
        <f t="shared" si="6"/>
        <v>0</v>
      </c>
      <c r="P21" s="146" t="str">
        <f t="shared" si="3"/>
        <v>%</v>
      </c>
      <c r="Q21" s="123" t="str">
        <f t="shared" si="4"/>
        <v>%</v>
      </c>
      <c r="R21" s="152" t="str">
        <f t="shared" si="1"/>
        <v>%</v>
      </c>
    </row>
    <row r="22" spans="1:18" ht="15" customHeight="1" x14ac:dyDescent="0.3">
      <c r="A22" s="125" t="s">
        <v>120</v>
      </c>
      <c r="B22" s="108">
        <f>SUM(B12,B14,B16,B18,B20)</f>
        <v>0</v>
      </c>
      <c r="C22" s="108">
        <f t="shared" ref="C22:G22" si="7">SUM(C12,C14,C16,C18,C20)</f>
        <v>0</v>
      </c>
      <c r="D22" s="146" t="str">
        <f t="shared" si="2"/>
        <v>%</v>
      </c>
      <c r="E22" s="108">
        <f t="shared" si="7"/>
        <v>0</v>
      </c>
      <c r="F22" s="146" t="str">
        <f t="shared" si="3"/>
        <v>%</v>
      </c>
      <c r="G22" s="108">
        <f t="shared" si="7"/>
        <v>0</v>
      </c>
      <c r="H22" s="146" t="str">
        <f t="shared" si="3"/>
        <v>%</v>
      </c>
      <c r="I22" s="108">
        <f t="shared" ref="I22:O22" si="8">SUM(I12,I14,I16,I18,I20)</f>
        <v>0</v>
      </c>
      <c r="J22" s="146" t="str">
        <f t="shared" si="3"/>
        <v>%</v>
      </c>
      <c r="K22" s="108">
        <f t="shared" si="8"/>
        <v>0</v>
      </c>
      <c r="L22" s="146" t="str">
        <f t="shared" si="3"/>
        <v>%</v>
      </c>
      <c r="M22" s="129">
        <f t="shared" si="8"/>
        <v>0</v>
      </c>
      <c r="N22" s="146" t="str">
        <f t="shared" si="3"/>
        <v>%</v>
      </c>
      <c r="O22" s="108">
        <f t="shared" si="8"/>
        <v>0</v>
      </c>
      <c r="P22" s="146" t="str">
        <f t="shared" si="3"/>
        <v>%</v>
      </c>
      <c r="Q22" s="123" t="str">
        <f t="shared" si="4"/>
        <v>%</v>
      </c>
      <c r="R22" s="152" t="str">
        <f t="shared" si="1"/>
        <v>%</v>
      </c>
    </row>
    <row r="23" spans="1:18" ht="15" customHeight="1" x14ac:dyDescent="0.3">
      <c r="A23" s="107" t="s">
        <v>121</v>
      </c>
      <c r="B23" s="106">
        <v>40036273</v>
      </c>
      <c r="C23" s="106">
        <v>40036273</v>
      </c>
      <c r="D23" s="146">
        <f t="shared" si="2"/>
        <v>0</v>
      </c>
      <c r="E23" s="106">
        <v>40036273</v>
      </c>
      <c r="F23" s="146">
        <f t="shared" si="3"/>
        <v>0</v>
      </c>
      <c r="G23" s="106">
        <v>40036273</v>
      </c>
      <c r="H23" s="146">
        <f t="shared" si="3"/>
        <v>0</v>
      </c>
      <c r="I23" s="106">
        <v>40036273</v>
      </c>
      <c r="J23" s="146">
        <f t="shared" si="3"/>
        <v>0</v>
      </c>
      <c r="K23" s="106">
        <v>40036273</v>
      </c>
      <c r="L23" s="146">
        <f t="shared" si="3"/>
        <v>0</v>
      </c>
      <c r="M23" s="106">
        <v>40036273</v>
      </c>
      <c r="N23" s="146">
        <f t="shared" si="3"/>
        <v>0</v>
      </c>
      <c r="O23" s="106">
        <v>40036273</v>
      </c>
      <c r="P23" s="146">
        <f t="shared" si="3"/>
        <v>0</v>
      </c>
      <c r="Q23" s="123" t="str">
        <f t="shared" si="4"/>
        <v>%</v>
      </c>
      <c r="R23" s="152">
        <f t="shared" si="1"/>
        <v>0</v>
      </c>
    </row>
    <row r="24" spans="1:18" ht="15" customHeight="1" x14ac:dyDescent="0.3">
      <c r="A24" s="126" t="s">
        <v>122</v>
      </c>
      <c r="B24" s="108">
        <f>SUM(B7:B20,B23)</f>
        <v>439228391</v>
      </c>
      <c r="C24" s="108">
        <f>SUM(C7:C20,C23)</f>
        <v>446556979.75033182</v>
      </c>
      <c r="D24" s="146">
        <f t="shared" ref="D24" si="9">IF(B24=0,"%",C24/B24-1)</f>
        <v>1.6685143539211245E-2</v>
      </c>
      <c r="E24" s="108">
        <f>SUM(E7:E20,E23)</f>
        <v>462115103</v>
      </c>
      <c r="F24" s="146">
        <f t="shared" ref="F24" si="10">IF(C24=0,"%",E24/C24-1)</f>
        <v>3.4840174838083771E-2</v>
      </c>
      <c r="G24" s="108">
        <f>SUM(G7:G20,G23)</f>
        <v>472558366</v>
      </c>
      <c r="H24" s="146">
        <f t="shared" ref="H24" si="11">IF(E24=0,"%",G24/E24-1)</f>
        <v>2.2598835078541102E-2</v>
      </c>
      <c r="I24" s="108">
        <f>SUM(I7:I20,I23)</f>
        <v>469430411</v>
      </c>
      <c r="J24" s="146">
        <f t="shared" ref="J24" si="12">IF(G24=0,"%",I24/G24-1)</f>
        <v>-6.619192940073737E-3</v>
      </c>
      <c r="K24" s="108">
        <f>SUM(K7:K20,K23)</f>
        <v>465328422</v>
      </c>
      <c r="L24" s="146">
        <f t="shared" ref="L24" si="13">IF(I24=0,"%",K24/I24-1)</f>
        <v>-8.7382259518760108E-3</v>
      </c>
      <c r="M24" s="108">
        <f>SUM(M7:M20,M23)</f>
        <v>462024122</v>
      </c>
      <c r="N24" s="146">
        <f t="shared" ref="N24" si="14">IF(K24=0,"%",M24/K24-1)</f>
        <v>-7.1010061792442514E-3</v>
      </c>
      <c r="O24" s="108">
        <f>SUM(O7:O20,O23)</f>
        <v>459361461</v>
      </c>
      <c r="P24" s="146">
        <f t="shared" ref="P24" si="15">IF(M24=0,"%",O24/M24-1)</f>
        <v>-5.7630345975745456E-3</v>
      </c>
      <c r="Q24" s="123" t="str">
        <f t="shared" ref="Q24" si="16">IF(O30=0,"%",O30/B30-1)</f>
        <v>%</v>
      </c>
      <c r="R24" s="152">
        <f t="shared" ref="R24" si="17">IF(B24=0,"%",(O24/B24)^(1/7)-1)</f>
        <v>6.4230924714228088E-3</v>
      </c>
    </row>
    <row r="25" spans="1:18" ht="15" customHeight="1" x14ac:dyDescent="0.3">
      <c r="A25" s="153" t="s">
        <v>123</v>
      </c>
      <c r="B25" s="154">
        <f>486763559+17682657</f>
        <v>504446216</v>
      </c>
      <c r="C25" s="154">
        <f>488463559+19039541</f>
        <v>507503100</v>
      </c>
      <c r="D25" s="146">
        <f t="shared" ref="D25" si="18">IF(B25=0,"%",C25/B25-1)</f>
        <v>6.0598809209819748E-3</v>
      </c>
      <c r="E25" s="108">
        <f>C25</f>
        <v>507503100</v>
      </c>
      <c r="F25" s="146">
        <f t="shared" ref="F25" si="19">IF(C25=0,"%",E25/C25-1)</f>
        <v>0</v>
      </c>
      <c r="G25" s="108">
        <f>E25</f>
        <v>507503100</v>
      </c>
      <c r="H25" s="146">
        <f t="shared" ref="H25" si="20">IF(E25=0,"%",G25/E25-1)</f>
        <v>0</v>
      </c>
      <c r="I25" s="108">
        <f>G25</f>
        <v>507503100</v>
      </c>
      <c r="J25" s="146">
        <f t="shared" ref="J25" si="21">IF(G25=0,"%",I25/G25-1)</f>
        <v>0</v>
      </c>
      <c r="K25" s="108">
        <f>I25</f>
        <v>507503100</v>
      </c>
      <c r="L25" s="146">
        <f t="shared" ref="L25" si="22">IF(I25=0,"%",K25/I25-1)</f>
        <v>0</v>
      </c>
      <c r="M25" s="108">
        <f>K25</f>
        <v>507503100</v>
      </c>
      <c r="N25" s="146">
        <f t="shared" ref="N25" si="23">IF(K25=0,"%",M25/K25-1)</f>
        <v>0</v>
      </c>
      <c r="O25" s="108">
        <f>M25</f>
        <v>507503100</v>
      </c>
      <c r="P25" s="146">
        <f t="shared" ref="P25" si="24">IF(M25=0,"%",O25/M25-1)</f>
        <v>0</v>
      </c>
      <c r="Q25" s="123" t="str">
        <f t="shared" ref="Q25" si="25">IF(O32=0,"%",O32/B32-1)</f>
        <v>%</v>
      </c>
      <c r="R25" s="152">
        <f t="shared" ref="R25" si="26">IF(B25=0,"%",(O25/B25)^(1/7)-1)</f>
        <v>8.6345737692949953E-4</v>
      </c>
    </row>
    <row r="26" spans="1:18" ht="15" customHeight="1" x14ac:dyDescent="0.3">
      <c r="A26" s="126" t="s">
        <v>124</v>
      </c>
      <c r="B26" s="108">
        <f>B25+B24</f>
        <v>943674607</v>
      </c>
      <c r="C26" s="108">
        <f>C25+C24</f>
        <v>954060079.75033188</v>
      </c>
      <c r="D26" s="146">
        <f t="shared" si="2"/>
        <v>1.100535361796795E-2</v>
      </c>
      <c r="E26" s="108">
        <f>E25+E24</f>
        <v>969618203</v>
      </c>
      <c r="F26" s="146">
        <f t="shared" si="3"/>
        <v>1.6307278314945828E-2</v>
      </c>
      <c r="G26" s="108">
        <f>G25+G24</f>
        <v>980061466</v>
      </c>
      <c r="H26" s="146">
        <f t="shared" si="3"/>
        <v>1.0770489835781216E-2</v>
      </c>
      <c r="I26" s="108">
        <f>I25+I24</f>
        <v>976933511</v>
      </c>
      <c r="J26" s="146">
        <f t="shared" si="3"/>
        <v>-3.1915906384589743E-3</v>
      </c>
      <c r="K26" s="108">
        <f>K25+K24</f>
        <v>972831522</v>
      </c>
      <c r="L26" s="146">
        <f t="shared" si="3"/>
        <v>-4.1988415320108885E-3</v>
      </c>
      <c r="M26" s="108">
        <f>M25+M24</f>
        <v>969527222</v>
      </c>
      <c r="N26" s="146">
        <f t="shared" si="3"/>
        <v>-3.3965799064640256E-3</v>
      </c>
      <c r="O26" s="108">
        <f>O25+O24</f>
        <v>966864561</v>
      </c>
      <c r="P26" s="146">
        <f t="shared" si="3"/>
        <v>-2.7463499111528566E-3</v>
      </c>
      <c r="Q26" s="123" t="str">
        <f t="shared" si="0"/>
        <v>%</v>
      </c>
      <c r="R26" s="152">
        <f t="shared" si="1"/>
        <v>3.4741658129504582E-3</v>
      </c>
    </row>
    <row r="27" spans="1:18" ht="15" customHeight="1" x14ac:dyDescent="0.3">
      <c r="A27" s="92"/>
      <c r="B27" s="54"/>
      <c r="C27" s="54"/>
      <c r="D27" s="147"/>
      <c r="F27" s="147"/>
      <c r="H27" s="147"/>
      <c r="J27" s="147"/>
      <c r="L27" s="147"/>
      <c r="N27" s="147"/>
      <c r="P27" s="147"/>
    </row>
    <row r="28" spans="1:18" ht="15" customHeight="1" x14ac:dyDescent="0.3">
      <c r="A28" s="92"/>
      <c r="B28" s="54"/>
      <c r="C28" s="54"/>
      <c r="D28" s="147"/>
      <c r="E28" s="54"/>
      <c r="F28" s="147"/>
      <c r="G28" s="54"/>
      <c r="H28" s="147"/>
      <c r="J28" s="147"/>
      <c r="L28" s="147"/>
      <c r="N28" s="147"/>
      <c r="P28" s="147"/>
    </row>
    <row r="29" spans="1:18" ht="15" customHeight="1" x14ac:dyDescent="0.3">
      <c r="A29" s="80"/>
      <c r="B29" s="102" t="s">
        <v>90</v>
      </c>
      <c r="C29" s="102" t="s">
        <v>91</v>
      </c>
      <c r="D29" s="145"/>
      <c r="E29" s="102" t="s">
        <v>92</v>
      </c>
      <c r="F29" s="145"/>
      <c r="G29" s="102" t="s">
        <v>93</v>
      </c>
      <c r="H29" s="145"/>
      <c r="J29"/>
      <c r="L29"/>
      <c r="N29"/>
      <c r="P29"/>
    </row>
    <row r="30" spans="1:18" ht="15" customHeight="1" x14ac:dyDescent="0.3">
      <c r="A30" s="93" t="s">
        <v>125</v>
      </c>
      <c r="B30" s="94" t="s">
        <v>126</v>
      </c>
      <c r="C30" s="94" t="s">
        <v>126</v>
      </c>
      <c r="D30" s="150" t="s">
        <v>99</v>
      </c>
      <c r="E30" s="94" t="s">
        <v>126</v>
      </c>
      <c r="F30" s="150" t="s">
        <v>99</v>
      </c>
      <c r="G30" s="94" t="s">
        <v>126</v>
      </c>
      <c r="H30" s="150" t="s">
        <v>99</v>
      </c>
      <c r="I30" s="386"/>
      <c r="J30"/>
      <c r="L30"/>
      <c r="N30"/>
      <c r="P30"/>
    </row>
    <row r="31" spans="1:18" ht="15" customHeight="1" x14ac:dyDescent="0.3">
      <c r="A31" s="107" t="s">
        <v>127</v>
      </c>
      <c r="B31" s="106">
        <v>17243154</v>
      </c>
      <c r="C31" s="106">
        <v>23062335</v>
      </c>
      <c r="D31" s="146">
        <f>IF(B31=0,"%",C31/B31-1)</f>
        <v>0.33747776073913149</v>
      </c>
      <c r="E31" s="106">
        <v>22657821</v>
      </c>
      <c r="F31" s="146">
        <f>IF(C31=0,"%",E31/C31-1)</f>
        <v>-1.7540027928655055E-2</v>
      </c>
      <c r="G31" s="106">
        <v>22332455</v>
      </c>
      <c r="H31" s="146">
        <f>IF(E31=0,"%",G31/E31-1)</f>
        <v>-1.4359986337609376E-2</v>
      </c>
      <c r="J31"/>
      <c r="L31"/>
      <c r="N31"/>
      <c r="P31"/>
    </row>
    <row r="32" spans="1:18" ht="15" customHeight="1" x14ac:dyDescent="0.3">
      <c r="A32" s="107" t="s">
        <v>128</v>
      </c>
      <c r="B32" s="106">
        <v>718465</v>
      </c>
      <c r="C32" s="106">
        <v>927292</v>
      </c>
      <c r="D32" s="146">
        <f t="shared" ref="D32:D34" si="27">IF(B32=0,"%",C32/B32-1)</f>
        <v>0.29065716492800631</v>
      </c>
      <c r="E32" s="106">
        <v>911027</v>
      </c>
      <c r="F32" s="146">
        <f t="shared" ref="F32:H34" si="28">IF(C32=0,"%",E32/C32-1)</f>
        <v>-1.7540321710960538E-2</v>
      </c>
      <c r="G32" s="106">
        <v>897245</v>
      </c>
      <c r="H32" s="146">
        <f t="shared" si="28"/>
        <v>-1.5127981936869039E-2</v>
      </c>
      <c r="J32"/>
      <c r="L32"/>
      <c r="N32"/>
      <c r="P32"/>
    </row>
    <row r="33" spans="1:16" ht="15" customHeight="1" x14ac:dyDescent="0.3">
      <c r="A33" s="125" t="s">
        <v>129</v>
      </c>
      <c r="B33" s="108">
        <f>B32+B31</f>
        <v>17961619</v>
      </c>
      <c r="C33" s="108">
        <f>C32+C31</f>
        <v>23989627</v>
      </c>
      <c r="D33" s="146">
        <f t="shared" si="27"/>
        <v>0.33560493628107801</v>
      </c>
      <c r="E33" s="108">
        <f t="shared" ref="E33:G33" si="29">E32+E31</f>
        <v>23568848</v>
      </c>
      <c r="F33" s="146">
        <f t="shared" si="28"/>
        <v>-1.7540039284479114E-2</v>
      </c>
      <c r="G33" s="108">
        <f t="shared" si="29"/>
        <v>23229700</v>
      </c>
      <c r="H33" s="146">
        <f t="shared" si="28"/>
        <v>-1.4389672333582015E-2</v>
      </c>
      <c r="J33"/>
      <c r="L33"/>
      <c r="N33"/>
      <c r="P33"/>
    </row>
    <row r="34" spans="1:16" ht="15" customHeight="1" x14ac:dyDescent="0.3">
      <c r="A34" s="109" t="s">
        <v>130</v>
      </c>
      <c r="B34" s="106">
        <v>20606530</v>
      </c>
      <c r="C34" s="106">
        <v>26634538</v>
      </c>
      <c r="D34" s="146">
        <f t="shared" si="27"/>
        <v>0.29252901871397086</v>
      </c>
      <c r="E34" s="106">
        <v>26213759</v>
      </c>
      <c r="F34" s="146">
        <f t="shared" si="28"/>
        <v>-1.5798246622486967E-2</v>
      </c>
      <c r="G34" s="106">
        <v>25874611</v>
      </c>
      <c r="H34" s="146">
        <f t="shared" si="28"/>
        <v>-1.2937785839871374E-2</v>
      </c>
      <c r="I34" s="386"/>
      <c r="J34"/>
      <c r="L34"/>
      <c r="N34"/>
      <c r="P34"/>
    </row>
    <row r="35" spans="1:16" ht="15" customHeight="1" x14ac:dyDescent="0.3">
      <c r="A35" s="95"/>
      <c r="B35" s="54"/>
      <c r="C35" s="54"/>
      <c r="D35" s="148"/>
      <c r="E35" s="54"/>
      <c r="F35" s="148"/>
      <c r="G35" s="54"/>
      <c r="H35" s="148"/>
      <c r="J35" s="148"/>
      <c r="L35" s="148"/>
      <c r="N35" s="148"/>
      <c r="P35" s="148"/>
    </row>
    <row r="36" spans="1:16" x14ac:dyDescent="0.3">
      <c r="B36" s="386"/>
      <c r="D36" s="387"/>
    </row>
    <row r="38" spans="1:16" x14ac:dyDescent="0.3">
      <c r="B38" s="386"/>
      <c r="C38" s="106"/>
    </row>
  </sheetData>
  <sheetProtection selectLockedCells="1"/>
  <mergeCells count="4">
    <mergeCell ref="A2:G2"/>
    <mergeCell ref="A4:A5"/>
    <mergeCell ref="A3:G3"/>
    <mergeCell ref="I3:O3"/>
  </mergeCells>
  <phoneticPr fontId="10" type="noConversion"/>
  <pageMargins left="0.5" right="0" top="0" bottom="0" header="0" footer="0.1"/>
  <pageSetup orientation="landscape" r:id="rId1"/>
  <headerFooter alignWithMargins="0">
    <oddFooter>&amp;L2017 Six-Year Plan - Finance-Tuition and Fees &amp;C&amp;P of &amp;N&amp;RSCHEV - 5/23/17</oddFooter>
  </headerFooter>
  <ignoredErrors>
    <ignoredError sqref="G9:G20 B9:C20 E9:E20" unlockedFormula="1"/>
    <ignoredError sqref="B33 G33 E33" formula="1" unlockedFormula="1"/>
  </ignoredErrors>
  <extLst>
    <ext xmlns:mx="http://schemas.microsoft.com/office/mac/excel/2008/main" uri="{64002731-A6B0-56B0-2670-7721B7C09600}">
      <mx:PLV Mode="0" OnePage="0" WScale="65"/>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K111"/>
  <sheetViews>
    <sheetView topLeftCell="A4" zoomScaleNormal="100" workbookViewId="0">
      <selection activeCell="G12" sqref="G12"/>
    </sheetView>
  </sheetViews>
  <sheetFormatPr defaultColWidth="9.15234375" defaultRowHeight="12.45" x14ac:dyDescent="0.3"/>
  <cols>
    <col min="1" max="1" width="31.15234375" style="8" customWidth="1"/>
    <col min="2" max="5" width="17.61328125" style="8" customWidth="1"/>
    <col min="6" max="8" width="15.61328125" style="8" customWidth="1"/>
    <col min="9" max="9" width="15.61328125" style="134" customWidth="1"/>
    <col min="10" max="10" width="15.61328125" style="8" customWidth="1"/>
    <col min="11" max="16384" width="9.15234375" style="8"/>
  </cols>
  <sheetData>
    <row r="1" spans="1:11" ht="20.149999999999999" customHeight="1" x14ac:dyDescent="0.3">
      <c r="A1" s="55" t="s">
        <v>131</v>
      </c>
      <c r="B1" s="55"/>
      <c r="C1" s="55"/>
      <c r="D1" s="55"/>
      <c r="E1" s="55"/>
    </row>
    <row r="2" spans="1:11" ht="20.149999999999999" customHeight="1" x14ac:dyDescent="0.3">
      <c r="A2" s="467" t="str">
        <f>'Institution ID'!C3</f>
        <v>Virginia Community College System</v>
      </c>
      <c r="B2" s="467"/>
      <c r="C2" s="467"/>
      <c r="D2" s="467"/>
      <c r="E2" s="467"/>
    </row>
    <row r="3" spans="1:11" s="7" customFormat="1" ht="70.5" customHeight="1" x14ac:dyDescent="0.3">
      <c r="A3" s="475" t="s">
        <v>132</v>
      </c>
      <c r="B3" s="476"/>
      <c r="C3" s="476"/>
      <c r="D3" s="476"/>
      <c r="E3" s="476"/>
      <c r="F3" s="476"/>
      <c r="G3" s="476"/>
      <c r="H3" s="476"/>
      <c r="I3" s="135"/>
    </row>
    <row r="4" spans="1:11" s="7" customFormat="1" ht="41.5" customHeight="1" x14ac:dyDescent="0.3">
      <c r="A4" s="475" t="s">
        <v>133</v>
      </c>
      <c r="B4" s="476"/>
      <c r="C4" s="476"/>
      <c r="D4" s="476"/>
      <c r="E4" s="476"/>
      <c r="F4" s="476"/>
      <c r="G4" s="476"/>
      <c r="H4" s="476"/>
      <c r="I4" s="135"/>
    </row>
    <row r="5" spans="1:11" s="10" customFormat="1" ht="38.15" customHeight="1" x14ac:dyDescent="0.3">
      <c r="A5" s="477" t="s">
        <v>134</v>
      </c>
      <c r="B5" s="478"/>
      <c r="C5" s="478"/>
      <c r="D5" s="478"/>
      <c r="E5" s="478"/>
      <c r="F5" s="478"/>
      <c r="G5" s="478"/>
      <c r="H5" s="478"/>
      <c r="I5" s="136"/>
    </row>
    <row r="6" spans="1:11" s="10" customFormat="1" ht="20.149999999999999" customHeight="1" x14ac:dyDescent="0.5">
      <c r="A6" s="479" t="s">
        <v>135</v>
      </c>
      <c r="B6" s="480"/>
      <c r="C6" s="480"/>
      <c r="D6" s="480"/>
      <c r="E6" s="480"/>
      <c r="F6" s="480"/>
      <c r="G6" s="374"/>
      <c r="H6" s="374"/>
      <c r="I6" s="137"/>
    </row>
    <row r="7" spans="1:11" s="10" customFormat="1" ht="15" customHeight="1" x14ac:dyDescent="0.3">
      <c r="A7" s="458" t="s">
        <v>136</v>
      </c>
      <c r="B7" s="458"/>
      <c r="C7" s="458"/>
      <c r="D7" s="458"/>
      <c r="E7" s="458"/>
      <c r="F7" s="458"/>
      <c r="G7" s="458"/>
      <c r="H7" s="458"/>
      <c r="I7" s="138"/>
    </row>
    <row r="8" spans="1:11" s="10" customFormat="1" ht="15" customHeight="1" x14ac:dyDescent="0.3">
      <c r="A8" s="459" t="s">
        <v>137</v>
      </c>
      <c r="B8" s="461" t="s">
        <v>138</v>
      </c>
      <c r="C8" s="461" t="s">
        <v>139</v>
      </c>
      <c r="D8" s="452" t="s">
        <v>140</v>
      </c>
      <c r="E8" s="461" t="s">
        <v>141</v>
      </c>
      <c r="F8" s="461" t="s">
        <v>142</v>
      </c>
      <c r="G8" s="471" t="s">
        <v>143</v>
      </c>
      <c r="H8" s="472" t="s">
        <v>144</v>
      </c>
      <c r="I8" s="445" t="s">
        <v>145</v>
      </c>
    </row>
    <row r="9" spans="1:11" s="10" customFormat="1" ht="16.399999999999999" customHeight="1" thickBot="1" x14ac:dyDescent="0.35">
      <c r="A9" s="459"/>
      <c r="B9" s="462"/>
      <c r="C9" s="462"/>
      <c r="D9" s="452"/>
      <c r="E9" s="462"/>
      <c r="F9" s="462"/>
      <c r="G9" s="472"/>
      <c r="H9" s="472"/>
      <c r="I9" s="446"/>
    </row>
    <row r="10" spans="1:11" s="10" customFormat="1" ht="16.399999999999999" customHeight="1" x14ac:dyDescent="0.3">
      <c r="A10" s="459"/>
      <c r="B10" s="451"/>
      <c r="C10" s="451"/>
      <c r="D10" s="452"/>
      <c r="E10" s="451"/>
      <c r="F10" s="451"/>
      <c r="G10" s="473"/>
      <c r="H10" s="473"/>
      <c r="I10" s="446"/>
      <c r="J10" s="468" t="s">
        <v>146</v>
      </c>
      <c r="K10" s="455"/>
    </row>
    <row r="11" spans="1:11" s="10" customFormat="1" ht="16.399999999999999" customHeight="1" thickBot="1" x14ac:dyDescent="0.35">
      <c r="A11" s="460"/>
      <c r="B11" s="463"/>
      <c r="C11" s="463"/>
      <c r="D11" s="453"/>
      <c r="E11" s="463"/>
      <c r="F11" s="463"/>
      <c r="G11" s="474"/>
      <c r="H11" s="474"/>
      <c r="I11" s="447"/>
      <c r="J11" s="469" t="s">
        <v>147</v>
      </c>
      <c r="K11" s="457"/>
    </row>
    <row r="12" spans="1:11" s="10" customFormat="1" ht="16.399999999999999" customHeight="1" x14ac:dyDescent="0.35">
      <c r="A12" s="32" t="s">
        <v>105</v>
      </c>
      <c r="B12" s="37">
        <f>+'2-Revenue'!B7</f>
        <v>365463645</v>
      </c>
      <c r="C12" s="33">
        <f>5443579*(B12/$B$18)</f>
        <v>4983641.0426957756</v>
      </c>
      <c r="D12" s="81">
        <f t="shared" ref="D12:D18" si="0">IF(C12=0,"%",C12/B12)</f>
        <v>1.3636489185390179E-2</v>
      </c>
      <c r="E12" s="33">
        <v>5443579</v>
      </c>
      <c r="F12" s="33">
        <f>0</f>
        <v>0</v>
      </c>
      <c r="G12" s="87">
        <v>5274396</v>
      </c>
      <c r="H12" s="130">
        <f>B12+F12+G12</f>
        <v>370738041</v>
      </c>
      <c r="I12" s="139">
        <f>IF(H12=0,"%",(F12+G12)/H12)</f>
        <v>1.4226746156863897E-2</v>
      </c>
      <c r="J12" s="82">
        <f>(C12+C14+C16)-(E12+E14+E16)</f>
        <v>-459937.95730422437</v>
      </c>
      <c r="K12" s="83" t="str">
        <f>IF(J12&gt;0,"WARNING: IS subsidizing OS","Compliant")</f>
        <v>Compliant</v>
      </c>
    </row>
    <row r="13" spans="1:11" s="10" customFormat="1" ht="15" customHeight="1" x14ac:dyDescent="0.35">
      <c r="A13" s="34" t="s">
        <v>106</v>
      </c>
      <c r="B13" s="38">
        <f>+'2-Revenue'!B8</f>
        <v>33728473</v>
      </c>
      <c r="C13" s="33">
        <f>5443579*(B13/$B$18)</f>
        <v>459937.9573042246</v>
      </c>
      <c r="D13" s="81">
        <f t="shared" si="0"/>
        <v>1.3636489185390177E-2</v>
      </c>
      <c r="E13" s="33">
        <f>0</f>
        <v>0</v>
      </c>
      <c r="F13" s="33">
        <f>0</f>
        <v>0</v>
      </c>
      <c r="G13" s="87">
        <v>141788</v>
      </c>
      <c r="H13" s="131">
        <f t="shared" ref="H13:H17" si="1">B13+F13+G13</f>
        <v>33870261</v>
      </c>
      <c r="I13" s="139">
        <f t="shared" ref="I13:I18" si="2">IF(H13=0,"%",(F13+G13)/H13)</f>
        <v>4.1862092530081186E-3</v>
      </c>
    </row>
    <row r="14" spans="1:11" s="10" customFormat="1" ht="15" customHeight="1" x14ac:dyDescent="0.35">
      <c r="A14" s="34" t="s">
        <v>107</v>
      </c>
      <c r="B14" s="38">
        <f>+'2-Revenue'!B9</f>
        <v>0</v>
      </c>
      <c r="C14" s="33">
        <v>0</v>
      </c>
      <c r="D14" s="81" t="str">
        <f t="shared" si="0"/>
        <v>%</v>
      </c>
      <c r="E14" s="33">
        <v>0</v>
      </c>
      <c r="F14" s="33">
        <f>0</f>
        <v>0</v>
      </c>
      <c r="G14" s="87">
        <f>0</f>
        <v>0</v>
      </c>
      <c r="H14" s="131">
        <f t="shared" si="1"/>
        <v>0</v>
      </c>
      <c r="I14" s="139" t="str">
        <f t="shared" si="2"/>
        <v>%</v>
      </c>
    </row>
    <row r="15" spans="1:11" s="10" customFormat="1" ht="15" customHeight="1" x14ac:dyDescent="0.35">
      <c r="A15" s="34" t="s">
        <v>108</v>
      </c>
      <c r="B15" s="38">
        <f>+'2-Revenue'!B10</f>
        <v>0</v>
      </c>
      <c r="C15" s="33">
        <f>0</f>
        <v>0</v>
      </c>
      <c r="D15" s="81" t="str">
        <f t="shared" si="0"/>
        <v>%</v>
      </c>
      <c r="E15" s="33">
        <f>0</f>
        <v>0</v>
      </c>
      <c r="F15" s="33">
        <f>0</f>
        <v>0</v>
      </c>
      <c r="G15" s="87">
        <f>0</f>
        <v>0</v>
      </c>
      <c r="H15" s="131">
        <f t="shared" si="1"/>
        <v>0</v>
      </c>
      <c r="I15" s="139" t="str">
        <f>IF(H15=0,"%",(F15+G15)/H15)</f>
        <v>%</v>
      </c>
    </row>
    <row r="16" spans="1:11" s="10" customFormat="1" ht="15" customHeight="1" x14ac:dyDescent="0.35">
      <c r="A16" s="34" t="s">
        <v>148</v>
      </c>
      <c r="B16" s="38">
        <f>+SUM('2-Revenue'!B11+'2-Revenue'!B13+'2-Revenue'!B15+'2-Revenue'!B17+'2-Revenue'!B19)</f>
        <v>0</v>
      </c>
      <c r="C16" s="33">
        <v>0</v>
      </c>
      <c r="D16" s="81" t="str">
        <f t="shared" si="0"/>
        <v>%</v>
      </c>
      <c r="E16" s="33">
        <v>0</v>
      </c>
      <c r="F16" s="33">
        <f>0</f>
        <v>0</v>
      </c>
      <c r="G16" s="87">
        <f>0</f>
        <v>0</v>
      </c>
      <c r="H16" s="131">
        <f t="shared" si="1"/>
        <v>0</v>
      </c>
      <c r="I16" s="139" t="str">
        <f t="shared" si="2"/>
        <v>%</v>
      </c>
    </row>
    <row r="17" spans="1:11" s="10" customFormat="1" ht="15" customHeight="1" thickBot="1" x14ac:dyDescent="0.4">
      <c r="A17" s="35" t="s">
        <v>149</v>
      </c>
      <c r="B17" s="38">
        <f>+SUM('2-Revenue'!B12+'2-Revenue'!B14+'2-Revenue'!B16+'2-Revenue'!B18+'2-Revenue'!B20)</f>
        <v>0</v>
      </c>
      <c r="C17" s="33">
        <f>0</f>
        <v>0</v>
      </c>
      <c r="D17" s="84" t="str">
        <f t="shared" si="0"/>
        <v>%</v>
      </c>
      <c r="E17" s="33">
        <f>0</f>
        <v>0</v>
      </c>
      <c r="F17" s="33">
        <f>0</f>
        <v>0</v>
      </c>
      <c r="G17" s="87">
        <f>0</f>
        <v>0</v>
      </c>
      <c r="H17" s="132">
        <f t="shared" si="1"/>
        <v>0</v>
      </c>
      <c r="I17" s="139" t="str">
        <f t="shared" si="2"/>
        <v>%</v>
      </c>
    </row>
    <row r="18" spans="1:11" s="10" customFormat="1" ht="15" customHeight="1" thickBot="1" x14ac:dyDescent="0.4">
      <c r="A18" s="36" t="s">
        <v>150</v>
      </c>
      <c r="B18" s="39">
        <f>SUM(B12:B17)</f>
        <v>399192118</v>
      </c>
      <c r="C18" s="39">
        <f t="shared" ref="C18:G18" si="3">SUM(C12:C17)</f>
        <v>5443579</v>
      </c>
      <c r="D18" s="85">
        <f t="shared" si="0"/>
        <v>1.3636489185390179E-2</v>
      </c>
      <c r="E18" s="39">
        <f t="shared" si="3"/>
        <v>5443579</v>
      </c>
      <c r="F18" s="39">
        <f t="shared" si="3"/>
        <v>0</v>
      </c>
      <c r="G18" s="39">
        <f t="shared" si="3"/>
        <v>5416184</v>
      </c>
      <c r="H18" s="133">
        <f t="shared" ref="H18" si="4">SUM(H12:H17)</f>
        <v>404608302</v>
      </c>
      <c r="I18" s="140">
        <f t="shared" si="2"/>
        <v>1.3386240403935162E-2</v>
      </c>
    </row>
    <row r="19" spans="1:11" s="10" customFormat="1" ht="15" customHeight="1" x14ac:dyDescent="0.3">
      <c r="A19" s="470"/>
      <c r="B19" s="470"/>
      <c r="C19" s="470"/>
      <c r="D19" s="470"/>
      <c r="E19" s="470"/>
      <c r="I19" s="141"/>
    </row>
    <row r="20" spans="1:11" s="10" customFormat="1" ht="15" customHeight="1" x14ac:dyDescent="0.3">
      <c r="A20" s="458" t="s">
        <v>151</v>
      </c>
      <c r="B20" s="458"/>
      <c r="C20" s="458"/>
      <c r="D20" s="458"/>
      <c r="E20" s="458"/>
      <c r="F20" s="458"/>
      <c r="G20" s="458"/>
      <c r="H20" s="458"/>
      <c r="I20" s="138"/>
    </row>
    <row r="21" spans="1:11" ht="15" customHeight="1" x14ac:dyDescent="0.3">
      <c r="A21" s="459" t="s">
        <v>137</v>
      </c>
      <c r="B21" s="461" t="s">
        <v>138</v>
      </c>
      <c r="C21" s="461" t="s">
        <v>139</v>
      </c>
      <c r="D21" s="452" t="s">
        <v>140</v>
      </c>
      <c r="E21" s="461" t="s">
        <v>141</v>
      </c>
      <c r="F21" s="461" t="s">
        <v>142</v>
      </c>
      <c r="G21" s="461" t="s">
        <v>143</v>
      </c>
      <c r="H21" s="462" t="s">
        <v>144</v>
      </c>
      <c r="I21" s="445" t="s">
        <v>145</v>
      </c>
    </row>
    <row r="22" spans="1:11" s="10" customFormat="1" ht="15" customHeight="1" thickBot="1" x14ac:dyDescent="0.35">
      <c r="A22" s="459"/>
      <c r="B22" s="462"/>
      <c r="C22" s="462"/>
      <c r="D22" s="452"/>
      <c r="E22" s="462"/>
      <c r="F22" s="462"/>
      <c r="G22" s="462"/>
      <c r="H22" s="462"/>
      <c r="I22" s="446"/>
    </row>
    <row r="23" spans="1:11" s="10" customFormat="1" ht="16.399999999999999" customHeight="1" x14ac:dyDescent="0.3">
      <c r="A23" s="459"/>
      <c r="B23" s="451"/>
      <c r="C23" s="451"/>
      <c r="D23" s="452"/>
      <c r="E23" s="451"/>
      <c r="F23" s="451"/>
      <c r="G23" s="451"/>
      <c r="H23" s="451"/>
      <c r="I23" s="446"/>
      <c r="J23" s="454" t="s">
        <v>146</v>
      </c>
      <c r="K23" s="455"/>
    </row>
    <row r="24" spans="1:11" s="10" customFormat="1" ht="16.399999999999999" customHeight="1" thickBot="1" x14ac:dyDescent="0.35">
      <c r="A24" s="460"/>
      <c r="B24" s="463"/>
      <c r="C24" s="463"/>
      <c r="D24" s="453"/>
      <c r="E24" s="463"/>
      <c r="F24" s="463"/>
      <c r="G24" s="463"/>
      <c r="H24" s="463"/>
      <c r="I24" s="447"/>
      <c r="J24" s="456" t="s">
        <v>147</v>
      </c>
      <c r="K24" s="457"/>
    </row>
    <row r="25" spans="1:11" s="10" customFormat="1" ht="16.399999999999999" customHeight="1" x14ac:dyDescent="0.35">
      <c r="A25" s="32" t="s">
        <v>105</v>
      </c>
      <c r="B25" s="37">
        <f>+'2-Revenue'!C7</f>
        <v>370426562.60219502</v>
      </c>
      <c r="C25" s="33">
        <f>5443579*(B25/$B$31)</f>
        <v>4960254.7268567849</v>
      </c>
      <c r="D25" s="81">
        <f t="shared" ref="D25:D31" si="5">IF(C25=0,"%",C25/B25)</f>
        <v>1.339065614520645E-2</v>
      </c>
      <c r="E25" s="33">
        <v>5443579</v>
      </c>
      <c r="F25" s="33">
        <f>0</f>
        <v>0</v>
      </c>
      <c r="G25" s="33">
        <v>5274396</v>
      </c>
      <c r="H25" s="89">
        <f>B25+F25+G25</f>
        <v>375700958.60219502</v>
      </c>
      <c r="I25" s="139">
        <f>IF(H25=0,"%",(F25+G25)/H25)</f>
        <v>1.4038814326222442E-2</v>
      </c>
      <c r="J25" s="82">
        <f>(C25+C27+C29)-(E25+E27+E29)</f>
        <v>-483324.2731432151</v>
      </c>
      <c r="K25" s="83" t="str">
        <f>IF(J25&gt;0,"WARNING: IS subsidizing OS","Compliant")</f>
        <v>Compliant</v>
      </c>
    </row>
    <row r="26" spans="1:11" s="10" customFormat="1" ht="16.399999999999999" customHeight="1" x14ac:dyDescent="0.35">
      <c r="A26" s="34" t="s">
        <v>106</v>
      </c>
      <c r="B26" s="38">
        <f>+'2-Revenue'!C8</f>
        <v>36094144.14813678</v>
      </c>
      <c r="C26" s="33">
        <f>5443579*(B26/$B$31)</f>
        <v>483324.27314321522</v>
      </c>
      <c r="D26" s="81">
        <f t="shared" si="5"/>
        <v>1.339065614520645E-2</v>
      </c>
      <c r="E26" s="33">
        <f>0</f>
        <v>0</v>
      </c>
      <c r="F26" s="33">
        <f>0</f>
        <v>0</v>
      </c>
      <c r="G26" s="33">
        <v>141788</v>
      </c>
      <c r="H26" s="90">
        <f t="shared" ref="H26:H30" si="6">B26+F26+G26</f>
        <v>36235932.14813678</v>
      </c>
      <c r="I26" s="139">
        <f t="shared" ref="I26:I31" si="7">IF(H26=0,"%",(F26+G26)/H26)</f>
        <v>3.9129116209941526E-3</v>
      </c>
    </row>
    <row r="27" spans="1:11" s="10" customFormat="1" ht="15" customHeight="1" x14ac:dyDescent="0.35">
      <c r="A27" s="34" t="s">
        <v>107</v>
      </c>
      <c r="B27" s="38">
        <f>+'2-Revenue'!C9</f>
        <v>0</v>
      </c>
      <c r="C27" s="33">
        <f>0</f>
        <v>0</v>
      </c>
      <c r="D27" s="81" t="str">
        <f t="shared" si="5"/>
        <v>%</v>
      </c>
      <c r="E27" s="33">
        <f>0</f>
        <v>0</v>
      </c>
      <c r="F27" s="33">
        <f>0</f>
        <v>0</v>
      </c>
      <c r="G27" s="33">
        <f>0</f>
        <v>0</v>
      </c>
      <c r="H27" s="90">
        <f t="shared" si="6"/>
        <v>0</v>
      </c>
      <c r="I27" s="139" t="str">
        <f t="shared" si="7"/>
        <v>%</v>
      </c>
    </row>
    <row r="28" spans="1:11" s="10" customFormat="1" ht="15" customHeight="1" x14ac:dyDescent="0.35">
      <c r="A28" s="34" t="s">
        <v>108</v>
      </c>
      <c r="B28" s="38">
        <f>+'2-Revenue'!C10</f>
        <v>0</v>
      </c>
      <c r="C28" s="33">
        <f>0</f>
        <v>0</v>
      </c>
      <c r="D28" s="81" t="str">
        <f t="shared" si="5"/>
        <v>%</v>
      </c>
      <c r="E28" s="33">
        <f>0</f>
        <v>0</v>
      </c>
      <c r="F28" s="33">
        <f>0</f>
        <v>0</v>
      </c>
      <c r="G28" s="33">
        <f>0</f>
        <v>0</v>
      </c>
      <c r="H28" s="90">
        <f t="shared" si="6"/>
        <v>0</v>
      </c>
      <c r="I28" s="139" t="str">
        <f t="shared" si="7"/>
        <v>%</v>
      </c>
    </row>
    <row r="29" spans="1:11" s="10" customFormat="1" ht="15" customHeight="1" x14ac:dyDescent="0.35">
      <c r="A29" s="34" t="s">
        <v>148</v>
      </c>
      <c r="B29" s="38">
        <f>+SUM('2-Revenue'!C11+'2-Revenue'!C13+'2-Revenue'!C15+'2-Revenue'!C17+'2-Revenue'!C19)</f>
        <v>0</v>
      </c>
      <c r="C29" s="33">
        <f>0</f>
        <v>0</v>
      </c>
      <c r="D29" s="81" t="str">
        <f t="shared" si="5"/>
        <v>%</v>
      </c>
      <c r="E29" s="33">
        <f>0</f>
        <v>0</v>
      </c>
      <c r="F29" s="33">
        <f>0</f>
        <v>0</v>
      </c>
      <c r="G29" s="33">
        <f>0</f>
        <v>0</v>
      </c>
      <c r="H29" s="90">
        <f t="shared" si="6"/>
        <v>0</v>
      </c>
      <c r="I29" s="139" t="str">
        <f t="shared" si="7"/>
        <v>%</v>
      </c>
    </row>
    <row r="30" spans="1:11" s="10" customFormat="1" ht="15" customHeight="1" thickBot="1" x14ac:dyDescent="0.4">
      <c r="A30" s="35" t="s">
        <v>149</v>
      </c>
      <c r="B30" s="38">
        <f>+SUM('2-Revenue'!C12+'2-Revenue'!C14+'2-Revenue'!C16+'2-Revenue'!C18+'2-Revenue'!C20)</f>
        <v>0</v>
      </c>
      <c r="C30" s="33">
        <f>0</f>
        <v>0</v>
      </c>
      <c r="D30" s="84" t="str">
        <f t="shared" si="5"/>
        <v>%</v>
      </c>
      <c r="E30" s="33">
        <f>0</f>
        <v>0</v>
      </c>
      <c r="F30" s="33">
        <f>0</f>
        <v>0</v>
      </c>
      <c r="G30" s="33">
        <f>0</f>
        <v>0</v>
      </c>
      <c r="H30" s="91">
        <f t="shared" si="6"/>
        <v>0</v>
      </c>
      <c r="I30" s="139" t="str">
        <f t="shared" si="7"/>
        <v>%</v>
      </c>
    </row>
    <row r="31" spans="1:11" s="10" customFormat="1" ht="15" customHeight="1" thickBot="1" x14ac:dyDescent="0.4">
      <c r="A31" s="36" t="s">
        <v>150</v>
      </c>
      <c r="B31" s="41">
        <f>SUM(B25:B30)</f>
        <v>406520706.75033182</v>
      </c>
      <c r="C31" s="41">
        <f t="shared" ref="C31:H31" si="8">SUM(C25:C30)</f>
        <v>5443579</v>
      </c>
      <c r="D31" s="85">
        <f t="shared" si="5"/>
        <v>1.339065614520645E-2</v>
      </c>
      <c r="E31" s="41">
        <f t="shared" si="8"/>
        <v>5443579</v>
      </c>
      <c r="F31" s="39">
        <f t="shared" si="8"/>
        <v>0</v>
      </c>
      <c r="G31" s="39">
        <f t="shared" si="8"/>
        <v>5416184</v>
      </c>
      <c r="H31" s="88">
        <f t="shared" si="8"/>
        <v>411936890.75033182</v>
      </c>
      <c r="I31" s="140">
        <f t="shared" si="7"/>
        <v>1.3148091665532961E-2</v>
      </c>
    </row>
    <row r="32" spans="1:11" s="10" customFormat="1" ht="15" customHeight="1" x14ac:dyDescent="0.35">
      <c r="A32" s="466"/>
      <c r="B32" s="466"/>
      <c r="C32" s="466"/>
      <c r="D32" s="466"/>
      <c r="E32" s="466"/>
      <c r="I32" s="141"/>
    </row>
    <row r="33" spans="1:11" s="10" customFormat="1" ht="15" customHeight="1" x14ac:dyDescent="0.3">
      <c r="A33" s="458" t="s">
        <v>152</v>
      </c>
      <c r="B33" s="458"/>
      <c r="C33" s="458"/>
      <c r="D33" s="458"/>
      <c r="E33" s="458"/>
      <c r="F33" s="458"/>
      <c r="G33" s="458"/>
      <c r="H33" s="458"/>
      <c r="I33" s="138"/>
    </row>
    <row r="34" spans="1:11" ht="15" customHeight="1" x14ac:dyDescent="0.3">
      <c r="A34" s="459" t="s">
        <v>137</v>
      </c>
      <c r="B34" s="461" t="s">
        <v>138</v>
      </c>
      <c r="C34" s="461" t="s">
        <v>139</v>
      </c>
      <c r="D34" s="452" t="s">
        <v>140</v>
      </c>
      <c r="E34" s="461" t="s">
        <v>141</v>
      </c>
      <c r="F34" s="461" t="s">
        <v>142</v>
      </c>
      <c r="G34" s="461" t="s">
        <v>143</v>
      </c>
      <c r="H34" s="462" t="s">
        <v>144</v>
      </c>
      <c r="I34" s="445" t="s">
        <v>145</v>
      </c>
    </row>
    <row r="35" spans="1:11" ht="12.65" customHeight="1" thickBot="1" x14ac:dyDescent="0.35">
      <c r="A35" s="459"/>
      <c r="B35" s="462"/>
      <c r="C35" s="462"/>
      <c r="D35" s="452"/>
      <c r="E35" s="462"/>
      <c r="F35" s="462"/>
      <c r="G35" s="462"/>
      <c r="H35" s="462"/>
      <c r="I35" s="446"/>
      <c r="J35" s="10"/>
    </row>
    <row r="36" spans="1:11" s="10" customFormat="1" ht="15" customHeight="1" x14ac:dyDescent="0.3">
      <c r="A36" s="459"/>
      <c r="B36" s="451"/>
      <c r="C36" s="451"/>
      <c r="D36" s="452"/>
      <c r="E36" s="451"/>
      <c r="F36" s="451"/>
      <c r="G36" s="451"/>
      <c r="H36" s="451"/>
      <c r="I36" s="446"/>
      <c r="J36" s="454" t="s">
        <v>146</v>
      </c>
      <c r="K36" s="455"/>
    </row>
    <row r="37" spans="1:11" s="10" customFormat="1" ht="16.399999999999999" customHeight="1" thickBot="1" x14ac:dyDescent="0.35">
      <c r="A37" s="460"/>
      <c r="B37" s="463"/>
      <c r="C37" s="463"/>
      <c r="D37" s="453"/>
      <c r="E37" s="463"/>
      <c r="F37" s="463"/>
      <c r="G37" s="463"/>
      <c r="H37" s="463"/>
      <c r="I37" s="447"/>
      <c r="J37" s="456" t="s">
        <v>147</v>
      </c>
      <c r="K37" s="457"/>
    </row>
    <row r="38" spans="1:11" s="10" customFormat="1" ht="16.399999999999999" customHeight="1" x14ac:dyDescent="0.35">
      <c r="A38" s="32" t="s">
        <v>105</v>
      </c>
      <c r="B38" s="37">
        <f>+'2-Revenue'!E7</f>
        <v>385701183</v>
      </c>
      <c r="C38" s="33">
        <f>5443579*(B38/$B$44)</f>
        <v>4974414.0450113481</v>
      </c>
      <c r="D38" s="81">
        <f t="shared" ref="D38:D44" si="9">IF(C38=0,"%",C38/B38)</f>
        <v>1.2897067118955007E-2</v>
      </c>
      <c r="E38" s="33">
        <v>5443579</v>
      </c>
      <c r="F38" s="33">
        <f>0</f>
        <v>0</v>
      </c>
      <c r="G38" s="33">
        <v>5274396</v>
      </c>
      <c r="H38" s="89">
        <f>B38+F38+G38</f>
        <v>390975579</v>
      </c>
      <c r="I38" s="139">
        <f>IF(H38=0,"%",(F38+G38)/H38)</f>
        <v>1.3490346413682273E-2</v>
      </c>
      <c r="J38" s="82">
        <f>(C38+C40+C42)-(E38+E40+E42)</f>
        <v>-469164.95498865191</v>
      </c>
      <c r="K38" s="83" t="str">
        <f>IF(J38&gt;0,"WARNING: IS subsidizing OS","Compliant")</f>
        <v>Compliant</v>
      </c>
    </row>
    <row r="39" spans="1:11" s="10" customFormat="1" ht="16.399999999999999" customHeight="1" x14ac:dyDescent="0.35">
      <c r="A39" s="34" t="s">
        <v>106</v>
      </c>
      <c r="B39" s="40">
        <f>+'2-Revenue'!E8</f>
        <v>36377647</v>
      </c>
      <c r="C39" s="33">
        <f>5443579*(B39/$B$44)</f>
        <v>469164.95498865226</v>
      </c>
      <c r="D39" s="81">
        <f t="shared" si="9"/>
        <v>1.2897067118955007E-2</v>
      </c>
      <c r="E39" s="33">
        <f>0</f>
        <v>0</v>
      </c>
      <c r="F39" s="33">
        <f>0</f>
        <v>0</v>
      </c>
      <c r="G39" s="33">
        <v>141788</v>
      </c>
      <c r="H39" s="90">
        <f t="shared" ref="H39:H43" si="10">B39+F39+G39</f>
        <v>36519435</v>
      </c>
      <c r="I39" s="139">
        <f t="shared" ref="I39:I44" si="11">IF(H39=0,"%",(F39+G39)/H39)</f>
        <v>3.882535422577047E-3</v>
      </c>
    </row>
    <row r="40" spans="1:11" s="10" customFormat="1" ht="16.399999999999999" customHeight="1" x14ac:dyDescent="0.35">
      <c r="A40" s="34" t="s">
        <v>107</v>
      </c>
      <c r="B40" s="40">
        <f>+'2-Revenue'!E9</f>
        <v>0</v>
      </c>
      <c r="C40" s="33">
        <f>0</f>
        <v>0</v>
      </c>
      <c r="D40" s="81" t="str">
        <f t="shared" si="9"/>
        <v>%</v>
      </c>
      <c r="E40" s="33">
        <f>0</f>
        <v>0</v>
      </c>
      <c r="F40" s="33">
        <f>0</f>
        <v>0</v>
      </c>
      <c r="G40" s="33">
        <f>0</f>
        <v>0</v>
      </c>
      <c r="H40" s="90">
        <f t="shared" si="10"/>
        <v>0</v>
      </c>
      <c r="I40" s="139" t="str">
        <f t="shared" si="11"/>
        <v>%</v>
      </c>
    </row>
    <row r="41" spans="1:11" s="10" customFormat="1" ht="15" customHeight="1" x14ac:dyDescent="0.35">
      <c r="A41" s="34" t="s">
        <v>108</v>
      </c>
      <c r="B41" s="40">
        <f>+'2-Revenue'!E10</f>
        <v>0</v>
      </c>
      <c r="C41" s="33">
        <f>0</f>
        <v>0</v>
      </c>
      <c r="D41" s="81" t="str">
        <f t="shared" si="9"/>
        <v>%</v>
      </c>
      <c r="E41" s="33">
        <f>0</f>
        <v>0</v>
      </c>
      <c r="F41" s="33">
        <f>0</f>
        <v>0</v>
      </c>
      <c r="G41" s="33">
        <f>0</f>
        <v>0</v>
      </c>
      <c r="H41" s="90">
        <f t="shared" si="10"/>
        <v>0</v>
      </c>
      <c r="I41" s="139" t="str">
        <f t="shared" si="11"/>
        <v>%</v>
      </c>
    </row>
    <row r="42" spans="1:11" s="10" customFormat="1" ht="15" customHeight="1" x14ac:dyDescent="0.35">
      <c r="A42" s="34" t="s">
        <v>148</v>
      </c>
      <c r="B42" s="38">
        <f>+SUM('2-Revenue'!E11+'2-Revenue'!E13+'2-Revenue'!E15+'2-Revenue'!E17+'2-Revenue'!E19)</f>
        <v>0</v>
      </c>
      <c r="C42" s="33">
        <f>0</f>
        <v>0</v>
      </c>
      <c r="D42" s="81" t="str">
        <f t="shared" si="9"/>
        <v>%</v>
      </c>
      <c r="E42" s="33">
        <f>0</f>
        <v>0</v>
      </c>
      <c r="F42" s="33">
        <f>0</f>
        <v>0</v>
      </c>
      <c r="G42" s="33">
        <f>0</f>
        <v>0</v>
      </c>
      <c r="H42" s="90">
        <f t="shared" si="10"/>
        <v>0</v>
      </c>
      <c r="I42" s="139" t="str">
        <f t="shared" si="11"/>
        <v>%</v>
      </c>
    </row>
    <row r="43" spans="1:11" s="10" customFormat="1" ht="15" customHeight="1" thickBot="1" x14ac:dyDescent="0.4">
      <c r="A43" s="35" t="s">
        <v>149</v>
      </c>
      <c r="B43" s="38">
        <f>+SUM('2-Revenue'!E12+'2-Revenue'!E14+'2-Revenue'!E16+'2-Revenue'!E18+'2-Revenue'!E20)</f>
        <v>0</v>
      </c>
      <c r="C43" s="33">
        <f>0</f>
        <v>0</v>
      </c>
      <c r="D43" s="81" t="str">
        <f t="shared" si="9"/>
        <v>%</v>
      </c>
      <c r="E43" s="33">
        <f>0</f>
        <v>0</v>
      </c>
      <c r="F43" s="33">
        <f>0</f>
        <v>0</v>
      </c>
      <c r="G43" s="33">
        <f>0</f>
        <v>0</v>
      </c>
      <c r="H43" s="91">
        <f t="shared" si="10"/>
        <v>0</v>
      </c>
      <c r="I43" s="139" t="str">
        <f t="shared" si="11"/>
        <v>%</v>
      </c>
    </row>
    <row r="44" spans="1:11" s="10" customFormat="1" ht="15" customHeight="1" thickBot="1" x14ac:dyDescent="0.4">
      <c r="A44" s="36" t="s">
        <v>150</v>
      </c>
      <c r="B44" s="41">
        <f>SUM(B38:B43)</f>
        <v>422078830</v>
      </c>
      <c r="C44" s="41">
        <f>SUM(C38:C43)</f>
        <v>5443579</v>
      </c>
      <c r="D44" s="85">
        <f t="shared" si="9"/>
        <v>1.2897067118955007E-2</v>
      </c>
      <c r="E44" s="41">
        <f t="shared" ref="E44:H44" si="12">SUM(E38:E43)</f>
        <v>5443579</v>
      </c>
      <c r="F44" s="39">
        <f t="shared" si="12"/>
        <v>0</v>
      </c>
      <c r="G44" s="39">
        <f t="shared" si="12"/>
        <v>5416184</v>
      </c>
      <c r="H44" s="88">
        <f t="shared" si="12"/>
        <v>427495014</v>
      </c>
      <c r="I44" s="140">
        <f t="shared" si="11"/>
        <v>1.2669584024668883E-2</v>
      </c>
    </row>
    <row r="45" spans="1:11" s="10" customFormat="1" ht="15" customHeight="1" x14ac:dyDescent="0.3">
      <c r="A45" s="464"/>
      <c r="B45" s="464"/>
      <c r="C45" s="464"/>
      <c r="D45" s="464"/>
      <c r="E45" s="464"/>
      <c r="I45" s="141"/>
    </row>
    <row r="46" spans="1:11" s="10" customFormat="1" ht="15" customHeight="1" x14ac:dyDescent="0.3">
      <c r="A46" s="458" t="s">
        <v>153</v>
      </c>
      <c r="B46" s="458"/>
      <c r="C46" s="458"/>
      <c r="D46" s="458"/>
      <c r="E46" s="458"/>
      <c r="F46" s="458"/>
      <c r="G46" s="458"/>
      <c r="H46" s="458"/>
      <c r="I46" s="138"/>
    </row>
    <row r="47" spans="1:11" ht="15" customHeight="1" x14ac:dyDescent="0.3">
      <c r="A47" s="459" t="s">
        <v>137</v>
      </c>
      <c r="B47" s="461" t="s">
        <v>138</v>
      </c>
      <c r="C47" s="461" t="s">
        <v>139</v>
      </c>
      <c r="D47" s="452" t="s">
        <v>140</v>
      </c>
      <c r="E47" s="461" t="s">
        <v>141</v>
      </c>
      <c r="F47" s="461" t="s">
        <v>142</v>
      </c>
      <c r="G47" s="461" t="s">
        <v>143</v>
      </c>
      <c r="H47" s="462" t="s">
        <v>144</v>
      </c>
      <c r="I47" s="445" t="s">
        <v>145</v>
      </c>
    </row>
    <row r="48" spans="1:11" ht="15" customHeight="1" thickBot="1" x14ac:dyDescent="0.35">
      <c r="A48" s="459"/>
      <c r="B48" s="462"/>
      <c r="C48" s="462"/>
      <c r="D48" s="452"/>
      <c r="E48" s="462"/>
      <c r="F48" s="462"/>
      <c r="G48" s="462"/>
      <c r="H48" s="462"/>
      <c r="I48" s="446"/>
      <c r="J48" s="10"/>
    </row>
    <row r="49" spans="1:11" ht="15" customHeight="1" x14ac:dyDescent="0.3">
      <c r="A49" s="459"/>
      <c r="B49" s="451"/>
      <c r="C49" s="451"/>
      <c r="D49" s="452"/>
      <c r="E49" s="451"/>
      <c r="F49" s="451"/>
      <c r="G49" s="451"/>
      <c r="H49" s="451"/>
      <c r="I49" s="446"/>
      <c r="J49" s="454" t="s">
        <v>146</v>
      </c>
      <c r="K49" s="455"/>
    </row>
    <row r="50" spans="1:11" ht="15" customHeight="1" thickBot="1" x14ac:dyDescent="0.35">
      <c r="A50" s="460"/>
      <c r="B50" s="463"/>
      <c r="C50" s="463"/>
      <c r="D50" s="453"/>
      <c r="E50" s="463"/>
      <c r="F50" s="463"/>
      <c r="G50" s="463"/>
      <c r="H50" s="463"/>
      <c r="I50" s="447"/>
      <c r="J50" s="456" t="s">
        <v>147</v>
      </c>
      <c r="K50" s="457"/>
    </row>
    <row r="51" spans="1:11" ht="15" x14ac:dyDescent="0.35">
      <c r="A51" s="32" t="s">
        <v>105</v>
      </c>
      <c r="B51" s="37">
        <f>+'2-Revenue'!G7</f>
        <v>395971632</v>
      </c>
      <c r="C51" s="33">
        <f>5443579*(B51/$B$57)</f>
        <v>4983567.0719158566</v>
      </c>
      <c r="D51" s="81">
        <f t="shared" ref="D51:D57" si="13">IF(C51=0,"%",C51/B51)</f>
        <v>1.2585666924533261E-2</v>
      </c>
      <c r="E51" s="33">
        <v>5443579</v>
      </c>
      <c r="F51" s="33">
        <f>0</f>
        <v>0</v>
      </c>
      <c r="G51" s="33">
        <v>5274396</v>
      </c>
      <c r="H51" s="89">
        <f>B51+F51+G51</f>
        <v>401246028</v>
      </c>
      <c r="I51" s="139">
        <f>IF(H51=0,"%",(F51+G51)/H51)</f>
        <v>1.3145042273166128E-2</v>
      </c>
      <c r="J51" s="82">
        <f>(C51+C53+C55)-(E51+E53+E55)</f>
        <v>-460011.92808414344</v>
      </c>
      <c r="K51" s="83" t="str">
        <f>IF(J51&gt;0,"WARNING: IS subsidizing OS","Compliant")</f>
        <v>Compliant</v>
      </c>
    </row>
    <row r="52" spans="1:11" ht="15" x14ac:dyDescent="0.35">
      <c r="A52" s="34" t="s">
        <v>106</v>
      </c>
      <c r="B52" s="40">
        <f>+'2-Revenue'!G8</f>
        <v>36550461</v>
      </c>
      <c r="C52" s="33">
        <f>5443579*(B52/$B$57)</f>
        <v>460011.92808414297</v>
      </c>
      <c r="D52" s="81">
        <f t="shared" si="13"/>
        <v>1.2585666924533263E-2</v>
      </c>
      <c r="E52" s="33">
        <f>0</f>
        <v>0</v>
      </c>
      <c r="F52" s="33">
        <f>0</f>
        <v>0</v>
      </c>
      <c r="G52" s="33">
        <v>141788</v>
      </c>
      <c r="H52" s="90">
        <f t="shared" ref="H52:H56" si="14">B52+F52+G52</f>
        <v>36692249</v>
      </c>
      <c r="I52" s="139">
        <f t="shared" ref="I52:I57" si="15">IF(H52=0,"%",(F52+G52)/H52)</f>
        <v>3.8642493677615674E-3</v>
      </c>
    </row>
    <row r="53" spans="1:11" ht="15" x14ac:dyDescent="0.35">
      <c r="A53" s="34" t="s">
        <v>107</v>
      </c>
      <c r="B53" s="40">
        <f>+'2-Revenue'!G9</f>
        <v>0</v>
      </c>
      <c r="C53" s="33">
        <f>0</f>
        <v>0</v>
      </c>
      <c r="D53" s="81" t="str">
        <f t="shared" si="13"/>
        <v>%</v>
      </c>
      <c r="E53" s="33">
        <f>0</f>
        <v>0</v>
      </c>
      <c r="F53" s="33">
        <f>0</f>
        <v>0</v>
      </c>
      <c r="G53" s="33">
        <f>0</f>
        <v>0</v>
      </c>
      <c r="H53" s="90">
        <f t="shared" si="14"/>
        <v>0</v>
      </c>
      <c r="I53" s="139" t="str">
        <f t="shared" si="15"/>
        <v>%</v>
      </c>
    </row>
    <row r="54" spans="1:11" ht="15" x14ac:dyDescent="0.35">
      <c r="A54" s="34" t="s">
        <v>108</v>
      </c>
      <c r="B54" s="40">
        <f>+'2-Revenue'!G10</f>
        <v>0</v>
      </c>
      <c r="C54" s="33">
        <f>0</f>
        <v>0</v>
      </c>
      <c r="D54" s="81" t="str">
        <f t="shared" si="13"/>
        <v>%</v>
      </c>
      <c r="E54" s="33">
        <f>0</f>
        <v>0</v>
      </c>
      <c r="F54" s="33">
        <f>0</f>
        <v>0</v>
      </c>
      <c r="G54" s="33">
        <f>0</f>
        <v>0</v>
      </c>
      <c r="H54" s="90">
        <f t="shared" si="14"/>
        <v>0</v>
      </c>
      <c r="I54" s="139" t="str">
        <f t="shared" si="15"/>
        <v>%</v>
      </c>
    </row>
    <row r="55" spans="1:11" ht="15" x14ac:dyDescent="0.35">
      <c r="A55" s="34" t="s">
        <v>148</v>
      </c>
      <c r="B55" s="38">
        <f>+SUM('2-Revenue'!G11+'2-Revenue'!G13+'2-Revenue'!G15+'2-Revenue'!G17+'2-Revenue'!G19)</f>
        <v>0</v>
      </c>
      <c r="C55" s="33">
        <f>0</f>
        <v>0</v>
      </c>
      <c r="D55" s="81" t="str">
        <f t="shared" si="13"/>
        <v>%</v>
      </c>
      <c r="E55" s="33">
        <f>0</f>
        <v>0</v>
      </c>
      <c r="F55" s="33">
        <f>0</f>
        <v>0</v>
      </c>
      <c r="G55" s="33">
        <f>0</f>
        <v>0</v>
      </c>
      <c r="H55" s="90">
        <f t="shared" si="14"/>
        <v>0</v>
      </c>
      <c r="I55" s="139" t="str">
        <f t="shared" si="15"/>
        <v>%</v>
      </c>
    </row>
    <row r="56" spans="1:11" ht="15.45" thickBot="1" x14ac:dyDescent="0.4">
      <c r="A56" s="35" t="s">
        <v>149</v>
      </c>
      <c r="B56" s="38">
        <f>+SUM('2-Revenue'!G12+'2-Revenue'!G14+'2-Revenue'!G16+'2-Revenue'!G18+'2-Revenue'!G20)</f>
        <v>0</v>
      </c>
      <c r="C56" s="33">
        <f>0</f>
        <v>0</v>
      </c>
      <c r="D56" s="81" t="str">
        <f t="shared" si="13"/>
        <v>%</v>
      </c>
      <c r="E56" s="33">
        <f>0</f>
        <v>0</v>
      </c>
      <c r="F56" s="33">
        <f>0</f>
        <v>0</v>
      </c>
      <c r="G56" s="33">
        <f>0</f>
        <v>0</v>
      </c>
      <c r="H56" s="91">
        <f t="shared" si="14"/>
        <v>0</v>
      </c>
      <c r="I56" s="139" t="str">
        <f t="shared" si="15"/>
        <v>%</v>
      </c>
    </row>
    <row r="57" spans="1:11" ht="15.45" thickBot="1" x14ac:dyDescent="0.4">
      <c r="A57" s="36" t="s">
        <v>150</v>
      </c>
      <c r="B57" s="41">
        <f>SUM(B51:B56)</f>
        <v>432522093</v>
      </c>
      <c r="C57" s="41">
        <f t="shared" ref="C57:H57" si="16">SUM(C51:C56)</f>
        <v>5443579</v>
      </c>
      <c r="D57" s="85">
        <f t="shared" si="13"/>
        <v>1.2585666924533263E-2</v>
      </c>
      <c r="E57" s="41">
        <f t="shared" si="16"/>
        <v>5443579</v>
      </c>
      <c r="F57" s="39">
        <f t="shared" si="16"/>
        <v>0</v>
      </c>
      <c r="G57" s="39">
        <f t="shared" si="16"/>
        <v>5416184</v>
      </c>
      <c r="H57" s="88">
        <f t="shared" si="16"/>
        <v>437938277</v>
      </c>
      <c r="I57" s="140">
        <f t="shared" si="15"/>
        <v>1.2367459718530153E-2</v>
      </c>
      <c r="J57" s="86"/>
    </row>
    <row r="58" spans="1:11" ht="15" x14ac:dyDescent="0.35">
      <c r="A58" s="155"/>
      <c r="B58" s="156"/>
      <c r="C58" s="156"/>
      <c r="D58" s="157"/>
      <c r="E58" s="156"/>
      <c r="F58" s="158"/>
      <c r="G58" s="158"/>
      <c r="H58" s="158"/>
      <c r="I58" s="159"/>
      <c r="J58" s="86"/>
    </row>
    <row r="59" spans="1:11" ht="15.45" x14ac:dyDescent="0.3">
      <c r="A59" s="458" t="s">
        <v>154</v>
      </c>
      <c r="B59" s="458"/>
      <c r="C59" s="458"/>
      <c r="D59" s="458"/>
      <c r="E59" s="458"/>
      <c r="F59" s="458"/>
      <c r="G59" s="458"/>
      <c r="H59" s="458"/>
      <c r="I59" s="138"/>
      <c r="J59" s="10"/>
      <c r="K59" s="10"/>
    </row>
    <row r="60" spans="1:11" ht="12.75" customHeight="1" x14ac:dyDescent="0.3">
      <c r="A60" s="459" t="s">
        <v>137</v>
      </c>
      <c r="B60" s="461" t="s">
        <v>138</v>
      </c>
      <c r="C60" s="461" t="s">
        <v>139</v>
      </c>
      <c r="D60" s="452" t="s">
        <v>140</v>
      </c>
      <c r="E60" s="461" t="s">
        <v>141</v>
      </c>
      <c r="F60" s="461" t="s">
        <v>142</v>
      </c>
      <c r="G60" s="461" t="s">
        <v>143</v>
      </c>
      <c r="H60" s="462" t="s">
        <v>144</v>
      </c>
      <c r="I60" s="445" t="s">
        <v>145</v>
      </c>
    </row>
    <row r="61" spans="1:11" ht="13.5" customHeight="1" thickBot="1" x14ac:dyDescent="0.35">
      <c r="A61" s="459"/>
      <c r="B61" s="462"/>
      <c r="C61" s="462"/>
      <c r="D61" s="452"/>
      <c r="E61" s="462"/>
      <c r="F61" s="462"/>
      <c r="G61" s="462"/>
      <c r="H61" s="462"/>
      <c r="I61" s="446"/>
      <c r="J61" s="10"/>
    </row>
    <row r="62" spans="1:11" ht="12.75" customHeight="1" x14ac:dyDescent="0.3">
      <c r="A62" s="459"/>
      <c r="B62" s="451"/>
      <c r="C62" s="451"/>
      <c r="D62" s="452"/>
      <c r="E62" s="451"/>
      <c r="F62" s="451"/>
      <c r="G62" s="451"/>
      <c r="H62" s="451"/>
      <c r="I62" s="446"/>
      <c r="J62" s="454" t="s">
        <v>146</v>
      </c>
      <c r="K62" s="455"/>
    </row>
    <row r="63" spans="1:11" ht="19.5" customHeight="1" thickBot="1" x14ac:dyDescent="0.35">
      <c r="A63" s="460"/>
      <c r="B63" s="463"/>
      <c r="C63" s="463"/>
      <c r="D63" s="453"/>
      <c r="E63" s="463"/>
      <c r="F63" s="463"/>
      <c r="G63" s="463"/>
      <c r="H63" s="463"/>
      <c r="I63" s="447"/>
      <c r="J63" s="456" t="s">
        <v>147</v>
      </c>
      <c r="K63" s="457"/>
    </row>
    <row r="64" spans="1:11" ht="15" x14ac:dyDescent="0.35">
      <c r="A64" s="32" t="s">
        <v>105</v>
      </c>
      <c r="B64" s="37">
        <f>+'2-Revenue'!I7</f>
        <v>393169078</v>
      </c>
      <c r="C64" s="33">
        <f>5443579*(B64/$B$70)</f>
        <v>4984341.3010220509</v>
      </c>
      <c r="D64" s="81">
        <f t="shared" ref="D64:D70" si="17">IF(C64=0,"%",C64/B64)</f>
        <v>1.26773481942597E-2</v>
      </c>
      <c r="E64" s="33">
        <v>5443579</v>
      </c>
      <c r="F64" s="33">
        <f>0</f>
        <v>0</v>
      </c>
      <c r="G64" s="33">
        <v>5274396</v>
      </c>
      <c r="H64" s="89">
        <f>B64+F64+G64</f>
        <v>398443474</v>
      </c>
      <c r="I64" s="139">
        <f>IF(H64=0,"%",(F64+G64)/H64)</f>
        <v>1.3237501287321875E-2</v>
      </c>
      <c r="J64" s="82">
        <f>(C64+C66+C68)-(E64+E66+E68)</f>
        <v>-459237.6989779491</v>
      </c>
      <c r="K64" s="83" t="str">
        <f>IF(J64&gt;0,"WARNING: IS subsidizing OS","Compliant")</f>
        <v>Compliant</v>
      </c>
    </row>
    <row r="65" spans="1:11" ht="15" x14ac:dyDescent="0.35">
      <c r="A65" s="34" t="s">
        <v>106</v>
      </c>
      <c r="B65" s="37">
        <f>+'2-Revenue'!I8</f>
        <v>36225060</v>
      </c>
      <c r="C65" s="33">
        <f>5443579*(B65/$B$70)</f>
        <v>459237.69897794927</v>
      </c>
      <c r="D65" s="81">
        <f t="shared" si="17"/>
        <v>1.26773481942597E-2</v>
      </c>
      <c r="E65" s="33">
        <f>0</f>
        <v>0</v>
      </c>
      <c r="F65" s="33">
        <f>0</f>
        <v>0</v>
      </c>
      <c r="G65" s="33">
        <v>141788</v>
      </c>
      <c r="H65" s="90">
        <f t="shared" ref="H65:H69" si="18">B65+F65+G65</f>
        <v>36366848</v>
      </c>
      <c r="I65" s="139">
        <f t="shared" ref="I65:I70" si="19">IF(H65=0,"%",(F65+G65)/H65)</f>
        <v>3.8988256557180869E-3</v>
      </c>
    </row>
    <row r="66" spans="1:11" ht="15" x14ac:dyDescent="0.35">
      <c r="A66" s="34" t="s">
        <v>107</v>
      </c>
      <c r="B66" s="37">
        <f>+'2-Revenue'!I9</f>
        <v>0</v>
      </c>
      <c r="C66" s="33">
        <f>0</f>
        <v>0</v>
      </c>
      <c r="D66" s="81" t="str">
        <f t="shared" si="17"/>
        <v>%</v>
      </c>
      <c r="E66" s="33">
        <f>0</f>
        <v>0</v>
      </c>
      <c r="F66" s="33">
        <f>0</f>
        <v>0</v>
      </c>
      <c r="G66" s="33">
        <f>0</f>
        <v>0</v>
      </c>
      <c r="H66" s="90">
        <f t="shared" si="18"/>
        <v>0</v>
      </c>
      <c r="I66" s="139" t="str">
        <f t="shared" si="19"/>
        <v>%</v>
      </c>
    </row>
    <row r="67" spans="1:11" ht="15" x14ac:dyDescent="0.35">
      <c r="A67" s="34" t="s">
        <v>108</v>
      </c>
      <c r="B67" s="37">
        <f>+'2-Revenue'!I10</f>
        <v>0</v>
      </c>
      <c r="C67" s="33">
        <f>0</f>
        <v>0</v>
      </c>
      <c r="D67" s="81" t="str">
        <f t="shared" si="17"/>
        <v>%</v>
      </c>
      <c r="E67" s="33">
        <f>0</f>
        <v>0</v>
      </c>
      <c r="F67" s="33">
        <f>0</f>
        <v>0</v>
      </c>
      <c r="G67" s="33">
        <f>0</f>
        <v>0</v>
      </c>
      <c r="H67" s="90">
        <f t="shared" si="18"/>
        <v>0</v>
      </c>
      <c r="I67" s="139" t="str">
        <f t="shared" si="19"/>
        <v>%</v>
      </c>
    </row>
    <row r="68" spans="1:11" ht="15" x14ac:dyDescent="0.35">
      <c r="A68" s="34" t="s">
        <v>148</v>
      </c>
      <c r="B68" s="38">
        <f>+SUM('2-Revenue'!I11+'2-Revenue'!I13+'2-Revenue'!I15+'2-Revenue'!I17+'2-Revenue'!I19)</f>
        <v>0</v>
      </c>
      <c r="C68" s="33">
        <f>0</f>
        <v>0</v>
      </c>
      <c r="D68" s="81" t="str">
        <f t="shared" si="17"/>
        <v>%</v>
      </c>
      <c r="E68" s="33">
        <f>0</f>
        <v>0</v>
      </c>
      <c r="F68" s="33">
        <f>0</f>
        <v>0</v>
      </c>
      <c r="G68" s="33">
        <f>0</f>
        <v>0</v>
      </c>
      <c r="H68" s="90">
        <f t="shared" si="18"/>
        <v>0</v>
      </c>
      <c r="I68" s="139" t="str">
        <f t="shared" si="19"/>
        <v>%</v>
      </c>
    </row>
    <row r="69" spans="1:11" ht="15.45" thickBot="1" x14ac:dyDescent="0.4">
      <c r="A69" s="35" t="s">
        <v>149</v>
      </c>
      <c r="B69" s="38">
        <f>+SUM('2-Revenue'!I12+'2-Revenue'!I14+'2-Revenue'!I16+'2-Revenue'!I18+'2-Revenue'!I20)</f>
        <v>0</v>
      </c>
      <c r="C69" s="33">
        <f>0</f>
        <v>0</v>
      </c>
      <c r="D69" s="81" t="str">
        <f t="shared" si="17"/>
        <v>%</v>
      </c>
      <c r="E69" s="33">
        <f>0</f>
        <v>0</v>
      </c>
      <c r="F69" s="33">
        <f>0</f>
        <v>0</v>
      </c>
      <c r="G69" s="33">
        <f>0</f>
        <v>0</v>
      </c>
      <c r="H69" s="91">
        <f t="shared" si="18"/>
        <v>0</v>
      </c>
      <c r="I69" s="139" t="str">
        <f t="shared" si="19"/>
        <v>%</v>
      </c>
    </row>
    <row r="70" spans="1:11" ht="15.45" thickBot="1" x14ac:dyDescent="0.4">
      <c r="A70" s="36" t="s">
        <v>150</v>
      </c>
      <c r="B70" s="41">
        <f>SUM(B64:B69)</f>
        <v>429394138</v>
      </c>
      <c r="C70" s="41">
        <f t="shared" ref="C70" si="20">SUM(C64:C69)</f>
        <v>5443579</v>
      </c>
      <c r="D70" s="85">
        <f t="shared" si="17"/>
        <v>1.2677348194259698E-2</v>
      </c>
      <c r="E70" s="41">
        <f t="shared" ref="E70:H70" si="21">SUM(E64:E69)</f>
        <v>5443579</v>
      </c>
      <c r="F70" s="39">
        <f t="shared" si="21"/>
        <v>0</v>
      </c>
      <c r="G70" s="39">
        <f t="shared" si="21"/>
        <v>5416184</v>
      </c>
      <c r="H70" s="88">
        <f t="shared" si="21"/>
        <v>434810322</v>
      </c>
      <c r="I70" s="140">
        <f t="shared" si="19"/>
        <v>1.2456429219727677E-2</v>
      </c>
      <c r="J70" s="86"/>
    </row>
    <row r="71" spans="1:11" ht="15" x14ac:dyDescent="0.35">
      <c r="A71" s="155"/>
      <c r="B71" s="156"/>
      <c r="C71" s="156"/>
      <c r="D71" s="157"/>
      <c r="E71" s="156"/>
      <c r="F71" s="158"/>
      <c r="G71" s="158"/>
      <c r="H71" s="158"/>
      <c r="I71" s="159"/>
      <c r="J71" s="86"/>
    </row>
    <row r="72" spans="1:11" ht="12.75" customHeight="1" x14ac:dyDescent="0.3">
      <c r="A72" s="458" t="s">
        <v>155</v>
      </c>
      <c r="B72" s="458"/>
      <c r="C72" s="458"/>
      <c r="D72" s="458"/>
      <c r="E72" s="458"/>
      <c r="F72" s="458"/>
      <c r="G72" s="458"/>
      <c r="H72" s="458"/>
      <c r="I72" s="138"/>
      <c r="J72" s="10"/>
      <c r="K72" s="10"/>
    </row>
    <row r="73" spans="1:11" ht="13.5" customHeight="1" x14ac:dyDescent="0.3">
      <c r="A73" s="459" t="s">
        <v>137</v>
      </c>
      <c r="B73" s="461" t="s">
        <v>138</v>
      </c>
      <c r="C73" s="461" t="s">
        <v>139</v>
      </c>
      <c r="D73" s="452" t="s">
        <v>140</v>
      </c>
      <c r="E73" s="461" t="s">
        <v>141</v>
      </c>
      <c r="F73" s="461" t="s">
        <v>142</v>
      </c>
      <c r="G73" s="461" t="s">
        <v>143</v>
      </c>
      <c r="H73" s="462" t="s">
        <v>144</v>
      </c>
      <c r="I73" s="445" t="s">
        <v>145</v>
      </c>
    </row>
    <row r="74" spans="1:11" ht="13.5" customHeight="1" thickBot="1" x14ac:dyDescent="0.35">
      <c r="A74" s="459"/>
      <c r="B74" s="462"/>
      <c r="C74" s="462"/>
      <c r="D74" s="452"/>
      <c r="E74" s="462"/>
      <c r="F74" s="462"/>
      <c r="G74" s="462"/>
      <c r="H74" s="462"/>
      <c r="I74" s="446"/>
      <c r="J74" s="10"/>
    </row>
    <row r="75" spans="1:11" ht="12.75" customHeight="1" x14ac:dyDescent="0.3">
      <c r="A75" s="459"/>
      <c r="B75" s="451"/>
      <c r="C75" s="451"/>
      <c r="D75" s="452"/>
      <c r="E75" s="451"/>
      <c r="F75" s="451"/>
      <c r="G75" s="451"/>
      <c r="H75" s="451"/>
      <c r="I75" s="446"/>
      <c r="J75" s="454" t="s">
        <v>146</v>
      </c>
      <c r="K75" s="455"/>
    </row>
    <row r="76" spans="1:11" ht="22.5" customHeight="1" thickBot="1" x14ac:dyDescent="0.35">
      <c r="A76" s="460"/>
      <c r="B76" s="463"/>
      <c r="C76" s="463"/>
      <c r="D76" s="453"/>
      <c r="E76" s="463"/>
      <c r="F76" s="463"/>
      <c r="G76" s="463"/>
      <c r="H76" s="463"/>
      <c r="I76" s="447"/>
      <c r="J76" s="456" t="s">
        <v>147</v>
      </c>
      <c r="K76" s="457"/>
    </row>
    <row r="77" spans="1:11" ht="15" x14ac:dyDescent="0.35">
      <c r="A77" s="32" t="s">
        <v>105</v>
      </c>
      <c r="B77" s="37">
        <f>+'2-Revenue'!K7</f>
        <v>389413145</v>
      </c>
      <c r="C77" s="33">
        <f>5443579*(B77/$B$83)</f>
        <v>4984341.2897000248</v>
      </c>
      <c r="D77" s="81">
        <f t="shared" ref="D77:D83" si="22">IF(C77=0,"%",C77/B77)</f>
        <v>1.2799622595431452E-2</v>
      </c>
      <c r="E77" s="33">
        <v>5443579</v>
      </c>
      <c r="F77" s="33">
        <f>0</f>
        <v>0</v>
      </c>
      <c r="G77" s="33">
        <v>5274396</v>
      </c>
      <c r="H77" s="89">
        <f>B77+F77+G77</f>
        <v>394687541</v>
      </c>
      <c r="I77" s="139">
        <f>IF(H77=0,"%",(F77+G77)/H77)</f>
        <v>1.3363472246011435E-2</v>
      </c>
      <c r="J77" s="82">
        <f>(C77+C79+C81)-(E77+E79+E81)</f>
        <v>-459237.71029997524</v>
      </c>
      <c r="K77" s="83" t="str">
        <f>IF(J77&gt;0,"WARNING: IS subsidizing OS","Compliant")</f>
        <v>Compliant</v>
      </c>
    </row>
    <row r="78" spans="1:11" ht="15" x14ac:dyDescent="0.35">
      <c r="A78" s="34" t="s">
        <v>106</v>
      </c>
      <c r="B78" s="37">
        <f>+'2-Revenue'!K8</f>
        <v>35879004</v>
      </c>
      <c r="C78" s="33">
        <f>5443579*(B78/$B$83)</f>
        <v>459237.71029997547</v>
      </c>
      <c r="D78" s="81">
        <f t="shared" si="22"/>
        <v>1.2799622595431452E-2</v>
      </c>
      <c r="E78" s="33">
        <f>0</f>
        <v>0</v>
      </c>
      <c r="F78" s="33">
        <f>0</f>
        <v>0</v>
      </c>
      <c r="G78" s="33">
        <v>141788</v>
      </c>
      <c r="H78" s="90">
        <f t="shared" ref="H78:H82" si="23">B78+F78+G78</f>
        <v>36020792</v>
      </c>
      <c r="I78" s="139">
        <f t="shared" ref="I78:I83" si="24">IF(H78=0,"%",(F78+G78)/H78)</f>
        <v>3.9362821339408638E-3</v>
      </c>
    </row>
    <row r="79" spans="1:11" ht="15" x14ac:dyDescent="0.35">
      <c r="A79" s="34" t="s">
        <v>107</v>
      </c>
      <c r="B79" s="37">
        <f>+'2-Revenue'!K9</f>
        <v>0</v>
      </c>
      <c r="C79" s="33">
        <f>0</f>
        <v>0</v>
      </c>
      <c r="D79" s="81" t="str">
        <f t="shared" si="22"/>
        <v>%</v>
      </c>
      <c r="E79" s="33">
        <f>0</f>
        <v>0</v>
      </c>
      <c r="F79" s="33">
        <f>0</f>
        <v>0</v>
      </c>
      <c r="G79" s="33">
        <f>0</f>
        <v>0</v>
      </c>
      <c r="H79" s="90">
        <f t="shared" si="23"/>
        <v>0</v>
      </c>
      <c r="I79" s="139" t="str">
        <f t="shared" si="24"/>
        <v>%</v>
      </c>
    </row>
    <row r="80" spans="1:11" ht="15" x14ac:dyDescent="0.35">
      <c r="A80" s="34" t="s">
        <v>108</v>
      </c>
      <c r="B80" s="37">
        <f>+'2-Revenue'!K10</f>
        <v>0</v>
      </c>
      <c r="C80" s="33">
        <f>0</f>
        <v>0</v>
      </c>
      <c r="D80" s="81" t="str">
        <f t="shared" si="22"/>
        <v>%</v>
      </c>
      <c r="E80" s="33">
        <f>0</f>
        <v>0</v>
      </c>
      <c r="F80" s="33">
        <f>0</f>
        <v>0</v>
      </c>
      <c r="G80" s="33">
        <f>0</f>
        <v>0</v>
      </c>
      <c r="H80" s="90">
        <f t="shared" si="23"/>
        <v>0</v>
      </c>
      <c r="I80" s="139" t="str">
        <f t="shared" si="24"/>
        <v>%</v>
      </c>
    </row>
    <row r="81" spans="1:10" ht="15" x14ac:dyDescent="0.35">
      <c r="A81" s="34" t="s">
        <v>148</v>
      </c>
      <c r="B81" s="38">
        <f>+SUM('2-Revenue'!K11+'2-Revenue'!K13+'2-Revenue'!K15+'2-Revenue'!K17+'2-Revenue'!K19)</f>
        <v>0</v>
      </c>
      <c r="C81" s="33">
        <f>0</f>
        <v>0</v>
      </c>
      <c r="D81" s="81" t="str">
        <f t="shared" si="22"/>
        <v>%</v>
      </c>
      <c r="E81" s="33">
        <f>0</f>
        <v>0</v>
      </c>
      <c r="F81" s="33">
        <f>0</f>
        <v>0</v>
      </c>
      <c r="G81" s="33">
        <f>0</f>
        <v>0</v>
      </c>
      <c r="H81" s="90">
        <f t="shared" si="23"/>
        <v>0</v>
      </c>
      <c r="I81" s="139" t="str">
        <f t="shared" si="24"/>
        <v>%</v>
      </c>
    </row>
    <row r="82" spans="1:10" ht="15.45" thickBot="1" x14ac:dyDescent="0.4">
      <c r="A82" s="35" t="s">
        <v>149</v>
      </c>
      <c r="B82" s="38">
        <f>+SUM('2-Revenue'!K12+'2-Revenue'!K14+'2-Revenue'!K16+'2-Revenue'!K18+'2-Revenue'!K20)</f>
        <v>0</v>
      </c>
      <c r="C82" s="33">
        <f>0</f>
        <v>0</v>
      </c>
      <c r="D82" s="81" t="str">
        <f t="shared" si="22"/>
        <v>%</v>
      </c>
      <c r="E82" s="33">
        <f>0</f>
        <v>0</v>
      </c>
      <c r="F82" s="33">
        <f>0</f>
        <v>0</v>
      </c>
      <c r="G82" s="33">
        <f>0</f>
        <v>0</v>
      </c>
      <c r="H82" s="91">
        <f t="shared" si="23"/>
        <v>0</v>
      </c>
      <c r="I82" s="139" t="str">
        <f t="shared" si="24"/>
        <v>%</v>
      </c>
    </row>
    <row r="83" spans="1:10" ht="15.45" thickBot="1" x14ac:dyDescent="0.4">
      <c r="A83" s="36" t="s">
        <v>150</v>
      </c>
      <c r="B83" s="41">
        <f>SUM(B77:B82)</f>
        <v>425292149</v>
      </c>
      <c r="C83" s="41">
        <f t="shared" ref="C83" si="25">SUM(C77:C82)</f>
        <v>5443579</v>
      </c>
      <c r="D83" s="85">
        <f t="shared" si="22"/>
        <v>1.2799622595431452E-2</v>
      </c>
      <c r="E83" s="41">
        <f t="shared" ref="E83:H83" si="26">SUM(E77:E82)</f>
        <v>5443579</v>
      </c>
      <c r="F83" s="39">
        <f t="shared" si="26"/>
        <v>0</v>
      </c>
      <c r="G83" s="39">
        <f t="shared" si="26"/>
        <v>5416184</v>
      </c>
      <c r="H83" s="88">
        <f t="shared" si="26"/>
        <v>430708333</v>
      </c>
      <c r="I83" s="140">
        <f t="shared" si="24"/>
        <v>1.2575062019986505E-2</v>
      </c>
      <c r="J83" s="86"/>
    </row>
    <row r="84" spans="1:10" ht="15" x14ac:dyDescent="0.35">
      <c r="A84" s="155"/>
      <c r="B84" s="156"/>
      <c r="C84" s="156"/>
      <c r="D84" s="157"/>
      <c r="E84" s="156"/>
      <c r="F84" s="158"/>
      <c r="G84" s="158"/>
      <c r="H84" s="158"/>
      <c r="I84" s="159"/>
      <c r="J84" s="86"/>
    </row>
    <row r="85" spans="1:10" ht="15.45" x14ac:dyDescent="0.3">
      <c r="A85" s="458" t="s">
        <v>156</v>
      </c>
      <c r="B85" s="458"/>
      <c r="C85" s="458"/>
      <c r="D85" s="458"/>
      <c r="E85" s="458"/>
      <c r="F85" s="458"/>
      <c r="G85" s="458"/>
      <c r="H85" s="458"/>
      <c r="I85" s="138"/>
      <c r="J85" s="86"/>
    </row>
    <row r="86" spans="1:10" ht="12.75" customHeight="1" x14ac:dyDescent="0.3">
      <c r="A86" s="459" t="s">
        <v>137</v>
      </c>
      <c r="B86" s="461" t="s">
        <v>138</v>
      </c>
      <c r="C86" s="461" t="s">
        <v>139</v>
      </c>
      <c r="D86" s="452" t="s">
        <v>140</v>
      </c>
      <c r="E86" s="461" t="s">
        <v>141</v>
      </c>
      <c r="F86" s="461" t="s">
        <v>142</v>
      </c>
      <c r="G86" s="461" t="s">
        <v>143</v>
      </c>
      <c r="H86" s="462" t="s">
        <v>144</v>
      </c>
      <c r="I86" s="445" t="s">
        <v>145</v>
      </c>
      <c r="J86" s="86"/>
    </row>
    <row r="87" spans="1:10" ht="12.75" customHeight="1" x14ac:dyDescent="0.3">
      <c r="A87" s="459"/>
      <c r="B87" s="462"/>
      <c r="C87" s="462"/>
      <c r="D87" s="452"/>
      <c r="E87" s="462"/>
      <c r="F87" s="462"/>
      <c r="G87" s="462"/>
      <c r="H87" s="462"/>
      <c r="I87" s="446"/>
      <c r="J87" s="86"/>
    </row>
    <row r="88" spans="1:10" ht="12.75" customHeight="1" x14ac:dyDescent="0.3">
      <c r="A88" s="459"/>
      <c r="B88" s="451"/>
      <c r="C88" s="451"/>
      <c r="D88" s="452"/>
      <c r="E88" s="451"/>
      <c r="F88" s="451"/>
      <c r="G88" s="451"/>
      <c r="H88" s="451"/>
      <c r="I88" s="446"/>
      <c r="J88" s="86"/>
    </row>
    <row r="89" spans="1:10" ht="21.75" customHeight="1" thickBot="1" x14ac:dyDescent="0.35">
      <c r="A89" s="460"/>
      <c r="B89" s="463"/>
      <c r="C89" s="463"/>
      <c r="D89" s="453"/>
      <c r="E89" s="463"/>
      <c r="F89" s="463"/>
      <c r="G89" s="463"/>
      <c r="H89" s="463"/>
      <c r="I89" s="447"/>
      <c r="J89" s="86"/>
    </row>
    <row r="90" spans="1:10" ht="15" x14ac:dyDescent="0.35">
      <c r="A90" s="32" t="s">
        <v>105</v>
      </c>
      <c r="B90" s="37">
        <f>+'2-Revenue'!M7</f>
        <v>386387607</v>
      </c>
      <c r="C90" s="33">
        <f>5443579*(B90/$B$96)</f>
        <v>4984341.2987122601</v>
      </c>
      <c r="D90" s="81">
        <f t="shared" ref="D90:D96" si="27">IF(C90=0,"%",C90/B90)</f>
        <v>1.2899847739454698E-2</v>
      </c>
      <c r="E90" s="33">
        <v>5443579</v>
      </c>
      <c r="F90" s="33">
        <f>0</f>
        <v>0</v>
      </c>
      <c r="G90" s="33">
        <v>5274396</v>
      </c>
      <c r="H90" s="89">
        <f>B90+F90+G90</f>
        <v>391662003</v>
      </c>
      <c r="I90" s="139">
        <f>IF(H90=0,"%",(F90+G90)/H90)</f>
        <v>1.3466703329911735E-2</v>
      </c>
      <c r="J90" s="86"/>
    </row>
    <row r="91" spans="1:10" ht="15" x14ac:dyDescent="0.35">
      <c r="A91" s="34" t="s">
        <v>106</v>
      </c>
      <c r="B91" s="37">
        <f>+'2-Revenue'!M8</f>
        <v>35600242</v>
      </c>
      <c r="C91" s="33">
        <f>5443579*(B91/$B$96)</f>
        <v>459237.70128774014</v>
      </c>
      <c r="D91" s="81">
        <f t="shared" si="27"/>
        <v>1.2899847739454696E-2</v>
      </c>
      <c r="E91" s="33">
        <f>0</f>
        <v>0</v>
      </c>
      <c r="F91" s="33">
        <f>0</f>
        <v>0</v>
      </c>
      <c r="G91" s="33">
        <v>141788</v>
      </c>
      <c r="H91" s="90">
        <f t="shared" ref="H91:H95" si="28">B91+F91+G91</f>
        <v>35742030</v>
      </c>
      <c r="I91" s="139">
        <f t="shared" ref="I91:I96" si="29">IF(H91=0,"%",(F91+G91)/H91)</f>
        <v>3.9669822894782417E-3</v>
      </c>
      <c r="J91" s="86"/>
    </row>
    <row r="92" spans="1:10" ht="15" x14ac:dyDescent="0.35">
      <c r="A92" s="34" t="s">
        <v>107</v>
      </c>
      <c r="B92" s="37">
        <f>+'2-Revenue'!M9</f>
        <v>0</v>
      </c>
      <c r="C92" s="33">
        <f>0</f>
        <v>0</v>
      </c>
      <c r="D92" s="81" t="str">
        <f t="shared" si="27"/>
        <v>%</v>
      </c>
      <c r="E92" s="33">
        <f>0</f>
        <v>0</v>
      </c>
      <c r="F92" s="33">
        <f>0</f>
        <v>0</v>
      </c>
      <c r="G92" s="33">
        <f>0</f>
        <v>0</v>
      </c>
      <c r="H92" s="90">
        <f t="shared" si="28"/>
        <v>0</v>
      </c>
      <c r="I92" s="139" t="str">
        <f t="shared" si="29"/>
        <v>%</v>
      </c>
      <c r="J92" s="86"/>
    </row>
    <row r="93" spans="1:10" ht="15" x14ac:dyDescent="0.35">
      <c r="A93" s="34" t="s">
        <v>108</v>
      </c>
      <c r="B93" s="37">
        <f>+'2-Revenue'!M10</f>
        <v>0</v>
      </c>
      <c r="C93" s="33">
        <f>0</f>
        <v>0</v>
      </c>
      <c r="D93" s="81" t="str">
        <f t="shared" si="27"/>
        <v>%</v>
      </c>
      <c r="E93" s="33">
        <f>0</f>
        <v>0</v>
      </c>
      <c r="F93" s="33">
        <f>0</f>
        <v>0</v>
      </c>
      <c r="G93" s="33">
        <f>0</f>
        <v>0</v>
      </c>
      <c r="H93" s="90">
        <f t="shared" si="28"/>
        <v>0</v>
      </c>
      <c r="I93" s="139" t="str">
        <f t="shared" si="29"/>
        <v>%</v>
      </c>
      <c r="J93" s="86"/>
    </row>
    <row r="94" spans="1:10" ht="15" x14ac:dyDescent="0.35">
      <c r="A94" s="34" t="s">
        <v>148</v>
      </c>
      <c r="B94" s="38">
        <f>+SUM('2-Revenue'!M11+'2-Revenue'!M13+'2-Revenue'!M15+'2-Revenue'!M17+'2-Revenue'!M19)</f>
        <v>0</v>
      </c>
      <c r="C94" s="33">
        <f>0</f>
        <v>0</v>
      </c>
      <c r="D94" s="81" t="str">
        <f t="shared" si="27"/>
        <v>%</v>
      </c>
      <c r="E94" s="33">
        <f>0</f>
        <v>0</v>
      </c>
      <c r="F94" s="33">
        <f>0</f>
        <v>0</v>
      </c>
      <c r="G94" s="33">
        <f>0</f>
        <v>0</v>
      </c>
      <c r="H94" s="90">
        <f t="shared" si="28"/>
        <v>0</v>
      </c>
      <c r="I94" s="139" t="str">
        <f t="shared" si="29"/>
        <v>%</v>
      </c>
      <c r="J94" s="86"/>
    </row>
    <row r="95" spans="1:10" ht="15.45" thickBot="1" x14ac:dyDescent="0.4">
      <c r="A95" s="35" t="s">
        <v>149</v>
      </c>
      <c r="B95" s="38">
        <f>+SUM('2-Revenue'!M12+'2-Revenue'!M14+'2-Revenue'!M16+'2-Revenue'!M18+'2-Revenue'!M20)</f>
        <v>0</v>
      </c>
      <c r="C95" s="33">
        <f>0</f>
        <v>0</v>
      </c>
      <c r="D95" s="81" t="str">
        <f t="shared" si="27"/>
        <v>%</v>
      </c>
      <c r="E95" s="33">
        <f>0</f>
        <v>0</v>
      </c>
      <c r="F95" s="33">
        <f>0</f>
        <v>0</v>
      </c>
      <c r="G95" s="33">
        <f>0</f>
        <v>0</v>
      </c>
      <c r="H95" s="91">
        <f t="shared" si="28"/>
        <v>0</v>
      </c>
      <c r="I95" s="139" t="str">
        <f t="shared" si="29"/>
        <v>%</v>
      </c>
      <c r="J95" s="86"/>
    </row>
    <row r="96" spans="1:10" ht="15.45" thickBot="1" x14ac:dyDescent="0.4">
      <c r="A96" s="36" t="s">
        <v>150</v>
      </c>
      <c r="B96" s="41">
        <f>SUM(B90:B95)</f>
        <v>421987849</v>
      </c>
      <c r="C96" s="41">
        <f t="shared" ref="C96" si="30">SUM(C90:C95)</f>
        <v>5443579</v>
      </c>
      <c r="D96" s="85">
        <f t="shared" si="27"/>
        <v>1.2899847739454696E-2</v>
      </c>
      <c r="E96" s="41">
        <f t="shared" ref="E96:H96" si="31">SUM(E90:E95)</f>
        <v>5443579</v>
      </c>
      <c r="F96" s="39">
        <f t="shared" si="31"/>
        <v>0</v>
      </c>
      <c r="G96" s="39">
        <f t="shared" si="31"/>
        <v>5416184</v>
      </c>
      <c r="H96" s="88">
        <f t="shared" si="31"/>
        <v>427404033</v>
      </c>
      <c r="I96" s="140">
        <f t="shared" si="29"/>
        <v>1.2672280984302271E-2</v>
      </c>
      <c r="J96" s="86"/>
    </row>
    <row r="97" spans="1:10" ht="15" x14ac:dyDescent="0.35">
      <c r="A97" s="155"/>
      <c r="B97" s="156"/>
      <c r="C97" s="156"/>
      <c r="D97" s="157"/>
      <c r="E97" s="156"/>
      <c r="F97" s="158"/>
      <c r="G97" s="158"/>
      <c r="H97" s="158"/>
      <c r="I97" s="159"/>
      <c r="J97" s="86"/>
    </row>
    <row r="98" spans="1:10" ht="15.45" x14ac:dyDescent="0.3">
      <c r="A98" s="448" t="s">
        <v>157</v>
      </c>
      <c r="B98" s="449"/>
      <c r="C98" s="449"/>
      <c r="D98" s="449"/>
      <c r="E98" s="449"/>
      <c r="F98" s="449"/>
      <c r="G98" s="449"/>
      <c r="H98" s="450"/>
      <c r="I98" s="138"/>
      <c r="J98" s="86"/>
    </row>
    <row r="99" spans="1:10" ht="12.75" customHeight="1" x14ac:dyDescent="0.3">
      <c r="A99" s="451" t="s">
        <v>137</v>
      </c>
      <c r="B99" s="451" t="s">
        <v>138</v>
      </c>
      <c r="C99" s="451" t="s">
        <v>139</v>
      </c>
      <c r="D99" s="451" t="s">
        <v>140</v>
      </c>
      <c r="E99" s="451" t="s">
        <v>141</v>
      </c>
      <c r="F99" s="451" t="s">
        <v>142</v>
      </c>
      <c r="G99" s="451" t="s">
        <v>143</v>
      </c>
      <c r="H99" s="451" t="s">
        <v>144</v>
      </c>
      <c r="I99" s="445" t="s">
        <v>145</v>
      </c>
      <c r="J99" s="86"/>
    </row>
    <row r="100" spans="1:10" ht="12.75" customHeight="1" x14ac:dyDescent="0.3">
      <c r="A100" s="452"/>
      <c r="B100" s="452"/>
      <c r="C100" s="452"/>
      <c r="D100" s="452"/>
      <c r="E100" s="452"/>
      <c r="F100" s="452"/>
      <c r="G100" s="452"/>
      <c r="H100" s="452"/>
      <c r="I100" s="446"/>
      <c r="J100" s="86"/>
    </row>
    <row r="101" spans="1:10" ht="12.75" customHeight="1" x14ac:dyDescent="0.3">
      <c r="A101" s="452"/>
      <c r="B101" s="452"/>
      <c r="C101" s="452"/>
      <c r="D101" s="452"/>
      <c r="E101" s="452"/>
      <c r="F101" s="452"/>
      <c r="G101" s="452"/>
      <c r="H101" s="452"/>
      <c r="I101" s="446"/>
      <c r="J101" s="86"/>
    </row>
    <row r="102" spans="1:10" ht="22.5" customHeight="1" thickBot="1" x14ac:dyDescent="0.35">
      <c r="A102" s="453"/>
      <c r="B102" s="453"/>
      <c r="C102" s="453"/>
      <c r="D102" s="453"/>
      <c r="E102" s="453"/>
      <c r="F102" s="453"/>
      <c r="G102" s="453"/>
      <c r="H102" s="453"/>
      <c r="I102" s="447"/>
      <c r="J102" s="86"/>
    </row>
    <row r="103" spans="1:10" ht="15" x14ac:dyDescent="0.35">
      <c r="A103" s="32" t="s">
        <v>105</v>
      </c>
      <c r="B103" s="37">
        <f>+'2-Revenue'!O7</f>
        <v>383949576</v>
      </c>
      <c r="C103" s="33">
        <f>5443579*(B103/$B$109)</f>
        <v>4984341.291161608</v>
      </c>
      <c r="D103" s="81">
        <f t="shared" ref="D103:D109" si="32">IF(C103=0,"%",C103/B103)</f>
        <v>1.2981760113108207E-2</v>
      </c>
      <c r="E103" s="33">
        <v>5443579</v>
      </c>
      <c r="F103" s="33">
        <f>0</f>
        <v>0</v>
      </c>
      <c r="G103" s="33">
        <v>5274396</v>
      </c>
      <c r="H103" s="89">
        <f>B103+F103+G103</f>
        <v>389223972</v>
      </c>
      <c r="I103" s="139">
        <f>IF(H103=0,"%",(F103+G103)/H103)</f>
        <v>1.3551056408211156E-2</v>
      </c>
      <c r="J103" s="86"/>
    </row>
    <row r="104" spans="1:10" ht="15" x14ac:dyDescent="0.35">
      <c r="A104" s="34" t="s">
        <v>106</v>
      </c>
      <c r="B104" s="37">
        <f>+'2-Revenue'!O8</f>
        <v>35375612</v>
      </c>
      <c r="C104" s="33">
        <f>5443579*(B104/$B$109)</f>
        <v>459237.70883839199</v>
      </c>
      <c r="D104" s="81">
        <f t="shared" si="32"/>
        <v>1.2981760113108205E-2</v>
      </c>
      <c r="E104" s="33">
        <f>0</f>
        <v>0</v>
      </c>
      <c r="F104" s="33">
        <f>0</f>
        <v>0</v>
      </c>
      <c r="G104" s="33">
        <v>141788</v>
      </c>
      <c r="H104" s="90">
        <f t="shared" ref="H104:H108" si="33">B104+F104+G104</f>
        <v>35517400</v>
      </c>
      <c r="I104" s="139">
        <f t="shared" ref="I104:I109" si="34">IF(H104=0,"%",(F104+G104)/H104)</f>
        <v>3.9920714917195512E-3</v>
      </c>
      <c r="J104" s="86"/>
    </row>
    <row r="105" spans="1:10" ht="15" x14ac:dyDescent="0.35">
      <c r="A105" s="34" t="s">
        <v>107</v>
      </c>
      <c r="B105" s="37">
        <f>+'2-Revenue'!O9</f>
        <v>0</v>
      </c>
      <c r="C105" s="33">
        <f>0</f>
        <v>0</v>
      </c>
      <c r="D105" s="81" t="str">
        <f t="shared" si="32"/>
        <v>%</v>
      </c>
      <c r="E105" s="33">
        <f>0</f>
        <v>0</v>
      </c>
      <c r="F105" s="33">
        <f>0</f>
        <v>0</v>
      </c>
      <c r="G105" s="33">
        <f>0</f>
        <v>0</v>
      </c>
      <c r="H105" s="90">
        <f t="shared" si="33"/>
        <v>0</v>
      </c>
      <c r="I105" s="139" t="str">
        <f t="shared" si="34"/>
        <v>%</v>
      </c>
      <c r="J105" s="86"/>
    </row>
    <row r="106" spans="1:10" ht="15" x14ac:dyDescent="0.35">
      <c r="A106" s="34" t="s">
        <v>108</v>
      </c>
      <c r="B106" s="37">
        <f>+'2-Revenue'!O10</f>
        <v>0</v>
      </c>
      <c r="C106" s="33">
        <f>0</f>
        <v>0</v>
      </c>
      <c r="D106" s="81" t="str">
        <f t="shared" si="32"/>
        <v>%</v>
      </c>
      <c r="E106" s="33">
        <f>0</f>
        <v>0</v>
      </c>
      <c r="F106" s="33">
        <f>0</f>
        <v>0</v>
      </c>
      <c r="G106" s="33">
        <f>0</f>
        <v>0</v>
      </c>
      <c r="H106" s="90">
        <f t="shared" si="33"/>
        <v>0</v>
      </c>
      <c r="I106" s="139" t="str">
        <f t="shared" si="34"/>
        <v>%</v>
      </c>
      <c r="J106" s="86"/>
    </row>
    <row r="107" spans="1:10" ht="15" x14ac:dyDescent="0.35">
      <c r="A107" s="34" t="s">
        <v>148</v>
      </c>
      <c r="B107" s="38">
        <f>+SUM('2-Revenue'!O11+'2-Revenue'!O13+'2-Revenue'!O15+'2-Revenue'!O17+'2-Revenue'!O19)</f>
        <v>0</v>
      </c>
      <c r="C107" s="33">
        <f>0</f>
        <v>0</v>
      </c>
      <c r="D107" s="81" t="str">
        <f t="shared" si="32"/>
        <v>%</v>
      </c>
      <c r="E107" s="33">
        <f>0</f>
        <v>0</v>
      </c>
      <c r="F107" s="33">
        <f>0</f>
        <v>0</v>
      </c>
      <c r="G107" s="33">
        <f>0</f>
        <v>0</v>
      </c>
      <c r="H107" s="90">
        <f t="shared" si="33"/>
        <v>0</v>
      </c>
      <c r="I107" s="139" t="str">
        <f t="shared" si="34"/>
        <v>%</v>
      </c>
      <c r="J107" s="86"/>
    </row>
    <row r="108" spans="1:10" ht="15.45" thickBot="1" x14ac:dyDescent="0.4">
      <c r="A108" s="35" t="s">
        <v>149</v>
      </c>
      <c r="B108" s="38">
        <f>+SUM('2-Revenue'!O12+'2-Revenue'!O14+'2-Revenue'!O16+'2-Revenue'!O18+'2-Revenue'!O20)</f>
        <v>0</v>
      </c>
      <c r="C108" s="33">
        <f>0</f>
        <v>0</v>
      </c>
      <c r="D108" s="81" t="str">
        <f t="shared" si="32"/>
        <v>%</v>
      </c>
      <c r="E108" s="33">
        <f>0</f>
        <v>0</v>
      </c>
      <c r="F108" s="33">
        <f>0</f>
        <v>0</v>
      </c>
      <c r="G108" s="33">
        <f>0</f>
        <v>0</v>
      </c>
      <c r="H108" s="91">
        <f t="shared" si="33"/>
        <v>0</v>
      </c>
      <c r="I108" s="139" t="str">
        <f t="shared" si="34"/>
        <v>%</v>
      </c>
      <c r="J108" s="86"/>
    </row>
    <row r="109" spans="1:10" ht="15.45" thickBot="1" x14ac:dyDescent="0.4">
      <c r="A109" s="36" t="s">
        <v>150</v>
      </c>
      <c r="B109" s="41">
        <f>SUM(B103:B108)</f>
        <v>419325188</v>
      </c>
      <c r="C109" s="41">
        <f t="shared" ref="C109" si="35">SUM(C103:C108)</f>
        <v>5443579</v>
      </c>
      <c r="D109" s="85">
        <f t="shared" si="32"/>
        <v>1.2981760113108207E-2</v>
      </c>
      <c r="E109" s="41">
        <f t="shared" ref="E109:H109" si="36">SUM(E103:E108)</f>
        <v>5443579</v>
      </c>
      <c r="F109" s="39">
        <f t="shared" si="36"/>
        <v>0</v>
      </c>
      <c r="G109" s="39">
        <f t="shared" si="36"/>
        <v>5416184</v>
      </c>
      <c r="H109" s="88">
        <f t="shared" si="36"/>
        <v>424741372</v>
      </c>
      <c r="I109" s="140">
        <f t="shared" si="34"/>
        <v>1.2751722240987629E-2</v>
      </c>
      <c r="J109" s="86"/>
    </row>
    <row r="111" spans="1:10" ht="72.75" customHeight="1" x14ac:dyDescent="0.3">
      <c r="A111" s="465" t="s">
        <v>158</v>
      </c>
      <c r="B111" s="465"/>
      <c r="C111" s="465"/>
      <c r="D111" s="465"/>
      <c r="E111" s="465"/>
      <c r="F111" s="465"/>
      <c r="G111" s="465"/>
      <c r="H111" s="465"/>
      <c r="I111" s="142"/>
    </row>
  </sheetData>
  <mergeCells count="101">
    <mergeCell ref="A2:E2"/>
    <mergeCell ref="J10:K10"/>
    <mergeCell ref="J11:K11"/>
    <mergeCell ref="A19:E19"/>
    <mergeCell ref="G8:G11"/>
    <mergeCell ref="A7:H7"/>
    <mergeCell ref="H8:H11"/>
    <mergeCell ref="A3:H3"/>
    <mergeCell ref="A4:H4"/>
    <mergeCell ref="A5:H5"/>
    <mergeCell ref="A6:F6"/>
    <mergeCell ref="I8:I11"/>
    <mergeCell ref="F8:F11"/>
    <mergeCell ref="A20:H20"/>
    <mergeCell ref="A21:A24"/>
    <mergeCell ref="B21:B24"/>
    <mergeCell ref="C21:C24"/>
    <mergeCell ref="D21:D24"/>
    <mergeCell ref="E21:E24"/>
    <mergeCell ref="A8:A11"/>
    <mergeCell ref="B8:B11"/>
    <mergeCell ref="C8:C11"/>
    <mergeCell ref="D8:D11"/>
    <mergeCell ref="E8:E11"/>
    <mergeCell ref="F21:F24"/>
    <mergeCell ref="J23:K23"/>
    <mergeCell ref="J24:K24"/>
    <mergeCell ref="A32:E32"/>
    <mergeCell ref="A34:A37"/>
    <mergeCell ref="B34:B37"/>
    <mergeCell ref="C34:C37"/>
    <mergeCell ref="D34:D37"/>
    <mergeCell ref="E34:E37"/>
    <mergeCell ref="F34:F37"/>
    <mergeCell ref="G34:G37"/>
    <mergeCell ref="J36:K36"/>
    <mergeCell ref="J37:K37"/>
    <mergeCell ref="H21:H24"/>
    <mergeCell ref="H34:H37"/>
    <mergeCell ref="A33:H33"/>
    <mergeCell ref="G21:G24"/>
    <mergeCell ref="I21:I24"/>
    <mergeCell ref="I34:I37"/>
    <mergeCell ref="A45:E45"/>
    <mergeCell ref="A111:H111"/>
    <mergeCell ref="G47:G50"/>
    <mergeCell ref="J49:K49"/>
    <mergeCell ref="J50:K50"/>
    <mergeCell ref="H47:H50"/>
    <mergeCell ref="A46:H46"/>
    <mergeCell ref="A47:A50"/>
    <mergeCell ref="B47:B50"/>
    <mergeCell ref="C47:C50"/>
    <mergeCell ref="D47:D50"/>
    <mergeCell ref="E47:E50"/>
    <mergeCell ref="F47:F50"/>
    <mergeCell ref="A59:H59"/>
    <mergeCell ref="A60:A63"/>
    <mergeCell ref="B60:B63"/>
    <mergeCell ref="I47:I50"/>
    <mergeCell ref="H60:H63"/>
    <mergeCell ref="I60:I63"/>
    <mergeCell ref="J62:K62"/>
    <mergeCell ref="J63:K63"/>
    <mergeCell ref="C60:C63"/>
    <mergeCell ref="D60:D63"/>
    <mergeCell ref="E60:E63"/>
    <mergeCell ref="F60:F63"/>
    <mergeCell ref="G60:G63"/>
    <mergeCell ref="A72:H72"/>
    <mergeCell ref="A73:A76"/>
    <mergeCell ref="B73:B76"/>
    <mergeCell ref="C73:C76"/>
    <mergeCell ref="D73:D76"/>
    <mergeCell ref="E73:E76"/>
    <mergeCell ref="F73:F76"/>
    <mergeCell ref="G73:G76"/>
    <mergeCell ref="H73:H76"/>
    <mergeCell ref="J75:K75"/>
    <mergeCell ref="J76:K76"/>
    <mergeCell ref="A85:H85"/>
    <mergeCell ref="A86:A89"/>
    <mergeCell ref="B86:B89"/>
    <mergeCell ref="C86:C89"/>
    <mergeCell ref="D86:D89"/>
    <mergeCell ref="E86:E89"/>
    <mergeCell ref="F86:F89"/>
    <mergeCell ref="G86:G89"/>
    <mergeCell ref="H86:H89"/>
    <mergeCell ref="I86:I89"/>
    <mergeCell ref="I73:I76"/>
    <mergeCell ref="I99:I102"/>
    <mergeCell ref="A98:H98"/>
    <mergeCell ref="A99:A102"/>
    <mergeCell ref="B99:B102"/>
    <mergeCell ref="C99:C102"/>
    <mergeCell ref="D99:D102"/>
    <mergeCell ref="E99:E102"/>
    <mergeCell ref="F99:F102"/>
    <mergeCell ref="G99:G102"/>
    <mergeCell ref="H99:H102"/>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Q59"/>
  <sheetViews>
    <sheetView topLeftCell="B1" zoomScale="80" zoomScaleNormal="80" workbookViewId="0">
      <selection activeCell="D7" sqref="D7"/>
    </sheetView>
  </sheetViews>
  <sheetFormatPr defaultColWidth="9.15234375" defaultRowHeight="12.45" x14ac:dyDescent="0.3"/>
  <cols>
    <col min="1" max="1" width="9.84375" style="100" customWidth="1"/>
    <col min="2" max="2" width="7.15234375" style="100" customWidth="1"/>
    <col min="3" max="3" width="51.69140625" style="322" customWidth="1"/>
    <col min="4" max="4" width="18.61328125" style="100" customWidth="1"/>
    <col min="5" max="5" width="15.3828125" style="100" customWidth="1"/>
    <col min="6" max="7" width="18.61328125" style="100" customWidth="1"/>
    <col min="8" max="8" width="21.84375" style="100" customWidth="1"/>
    <col min="9" max="9" width="18.3828125" style="100" customWidth="1"/>
    <col min="10" max="11" width="20.23046875" style="100" customWidth="1"/>
    <col min="12" max="12" width="22.15234375" style="100" customWidth="1"/>
    <col min="13" max="13" width="19.15234375" style="100" customWidth="1"/>
    <col min="14" max="15" width="20.23046875" style="100" customWidth="1"/>
    <col min="16" max="16" width="18.15234375" style="100" customWidth="1"/>
    <col min="17" max="17" width="50.3828125" style="100" customWidth="1"/>
    <col min="18" max="16384" width="9.15234375" style="100"/>
  </cols>
  <sheetData>
    <row r="1" spans="1:17" ht="20.149999999999999" customHeight="1" x14ac:dyDescent="0.3">
      <c r="A1" s="179" t="s">
        <v>159</v>
      </c>
      <c r="B1" s="179"/>
      <c r="C1" s="312"/>
      <c r="D1" s="179"/>
      <c r="E1" s="179"/>
      <c r="F1" s="179"/>
      <c r="G1" s="179"/>
      <c r="H1" s="179"/>
      <c r="I1" s="179"/>
      <c r="J1" s="179"/>
      <c r="K1" s="179"/>
      <c r="L1" s="179"/>
      <c r="M1" s="179"/>
      <c r="N1" s="179"/>
      <c r="O1" s="179"/>
    </row>
    <row r="2" spans="1:17" ht="20.149999999999999" customHeight="1" x14ac:dyDescent="0.3">
      <c r="A2" s="485" t="str">
        <f>'Institution ID'!C3</f>
        <v>Virginia Community College System</v>
      </c>
      <c r="B2" s="485"/>
      <c r="C2" s="485"/>
      <c r="D2" s="485"/>
      <c r="E2" s="485"/>
      <c r="F2" s="485"/>
      <c r="G2" s="485"/>
      <c r="H2" s="485"/>
      <c r="I2" s="485"/>
      <c r="J2" s="485"/>
      <c r="K2" s="375"/>
      <c r="L2" s="375"/>
      <c r="M2" s="375"/>
      <c r="N2" s="375"/>
      <c r="O2" s="375"/>
    </row>
    <row r="3" spans="1:17" ht="297.75" customHeight="1" x14ac:dyDescent="0.3">
      <c r="A3" s="486" t="s">
        <v>160</v>
      </c>
      <c r="B3" s="486"/>
      <c r="C3" s="486"/>
      <c r="D3" s="486"/>
      <c r="E3" s="486"/>
      <c r="F3" s="486"/>
      <c r="G3" s="486"/>
      <c r="H3" s="486"/>
      <c r="I3" s="486"/>
      <c r="J3" s="486"/>
      <c r="K3" s="486"/>
      <c r="L3" s="486"/>
      <c r="M3" s="486"/>
      <c r="N3" s="486"/>
      <c r="O3" s="486"/>
      <c r="P3" s="486"/>
      <c r="Q3" s="486"/>
    </row>
    <row r="4" spans="1:17" ht="30.75" customHeight="1" x14ac:dyDescent="0.3">
      <c r="A4" s="376"/>
      <c r="B4" s="487" t="s">
        <v>161</v>
      </c>
      <c r="C4" s="487"/>
      <c r="D4" s="487"/>
      <c r="E4" s="376"/>
      <c r="F4" s="376"/>
      <c r="G4" s="376"/>
      <c r="H4" s="323" t="s">
        <v>162</v>
      </c>
      <c r="I4" s="376"/>
      <c r="J4" s="376"/>
      <c r="K4" s="376"/>
      <c r="L4" s="323" t="s">
        <v>163</v>
      </c>
      <c r="M4" s="376"/>
      <c r="N4" s="376"/>
      <c r="O4" s="376"/>
      <c r="P4" s="376"/>
      <c r="Q4" s="376"/>
    </row>
    <row r="5" spans="1:17" ht="20.149999999999999" customHeight="1" x14ac:dyDescent="0.3">
      <c r="A5" s="208"/>
      <c r="B5" s="185" t="s">
        <v>164</v>
      </c>
      <c r="C5" s="313"/>
      <c r="D5" s="187">
        <v>956514142</v>
      </c>
      <c r="E5" s="178"/>
      <c r="F5" s="178"/>
      <c r="G5" s="178"/>
      <c r="H5" s="324" t="s">
        <v>165</v>
      </c>
      <c r="I5" s="178"/>
      <c r="J5" s="178"/>
      <c r="K5" s="178"/>
      <c r="L5" s="324" t="s">
        <v>165</v>
      </c>
      <c r="M5" s="178"/>
      <c r="N5" s="178"/>
      <c r="O5" s="178"/>
      <c r="P5" s="178"/>
    </row>
    <row r="6" spans="1:17" ht="20.149999999999999" customHeight="1" thickBot="1" x14ac:dyDescent="0.35">
      <c r="A6" s="208"/>
      <c r="B6" s="186" t="s">
        <v>166</v>
      </c>
      <c r="C6" s="314"/>
      <c r="D6" s="188">
        <v>1003211190.84</v>
      </c>
      <c r="E6" s="178"/>
      <c r="F6" s="178"/>
      <c r="G6" s="178"/>
      <c r="H6" s="404">
        <f>IFERROR(SUM(H12:H18,H22)/SUM(E12:E18,E22),"%")</f>
        <v>0.62799998835121817</v>
      </c>
      <c r="I6" s="178"/>
      <c r="J6" s="178"/>
      <c r="K6" s="178"/>
      <c r="L6" s="404">
        <f>IFERROR(SUM(L12:L18,L22)/SUM(I12:I18,I22),"%")</f>
        <v>0.6279999883691203</v>
      </c>
      <c r="M6" s="178"/>
      <c r="N6" s="178"/>
      <c r="O6" s="178"/>
      <c r="P6" s="178"/>
    </row>
    <row r="7" spans="1:17" ht="20.149999999999999" customHeight="1" x14ac:dyDescent="0.3">
      <c r="A7" s="208"/>
      <c r="B7" s="180"/>
      <c r="C7" s="315"/>
      <c r="D7" s="181"/>
      <c r="E7" s="178"/>
      <c r="F7" s="178"/>
      <c r="G7" s="178"/>
      <c r="H7" s="325"/>
      <c r="I7" s="178"/>
      <c r="J7" s="178"/>
      <c r="K7" s="178"/>
      <c r="L7" s="325"/>
      <c r="M7" s="178"/>
      <c r="N7" s="178"/>
      <c r="O7" s="178"/>
      <c r="P7" s="178"/>
    </row>
    <row r="8" spans="1:17" ht="20.149999999999999" customHeight="1" x14ac:dyDescent="0.3">
      <c r="A8" s="208"/>
      <c r="B8" s="180"/>
      <c r="C8" s="315"/>
      <c r="D8" s="181"/>
      <c r="E8" s="493" t="s">
        <v>167</v>
      </c>
      <c r="F8" s="494"/>
      <c r="G8" s="494"/>
      <c r="H8" s="494"/>
      <c r="I8" s="494"/>
      <c r="J8" s="494"/>
      <c r="K8" s="494"/>
      <c r="L8" s="494"/>
      <c r="M8" s="494"/>
      <c r="N8" s="494"/>
      <c r="O8" s="494"/>
      <c r="P8" s="495"/>
    </row>
    <row r="9" spans="1:17" ht="16.5" customHeight="1" x14ac:dyDescent="0.3">
      <c r="A9" s="209"/>
      <c r="B9" s="483"/>
      <c r="C9" s="484"/>
      <c r="D9" s="210"/>
      <c r="E9" s="488" t="s">
        <v>168</v>
      </c>
      <c r="F9" s="489"/>
      <c r="G9" s="489"/>
      <c r="H9" s="490"/>
      <c r="I9" s="488" t="s">
        <v>169</v>
      </c>
      <c r="J9" s="489"/>
      <c r="K9" s="489"/>
      <c r="L9" s="490"/>
      <c r="M9" s="199" t="s">
        <v>170</v>
      </c>
      <c r="N9" s="199" t="s">
        <v>171</v>
      </c>
      <c r="O9" s="199" t="s">
        <v>172</v>
      </c>
      <c r="P9" s="199" t="s">
        <v>173</v>
      </c>
      <c r="Q9" s="491" t="s">
        <v>174</v>
      </c>
    </row>
    <row r="10" spans="1:17" ht="60.75" customHeight="1" x14ac:dyDescent="0.3">
      <c r="A10" s="209"/>
      <c r="B10" s="211"/>
      <c r="C10" s="316" t="s">
        <v>175</v>
      </c>
      <c r="D10" s="199"/>
      <c r="E10" s="200" t="s">
        <v>176</v>
      </c>
      <c r="F10" s="201" t="s">
        <v>177</v>
      </c>
      <c r="G10" s="201" t="s">
        <v>178</v>
      </c>
      <c r="H10" s="202" t="s">
        <v>179</v>
      </c>
      <c r="I10" s="200" t="s">
        <v>176</v>
      </c>
      <c r="J10" s="201" t="s">
        <v>177</v>
      </c>
      <c r="K10" s="201" t="s">
        <v>178</v>
      </c>
      <c r="L10" s="202" t="s">
        <v>179</v>
      </c>
      <c r="M10" s="199" t="s">
        <v>180</v>
      </c>
      <c r="N10" s="199" t="s">
        <v>180</v>
      </c>
      <c r="O10" s="199" t="s">
        <v>180</v>
      </c>
      <c r="P10" s="199" t="s">
        <v>180</v>
      </c>
      <c r="Q10" s="492"/>
    </row>
    <row r="11" spans="1:17" ht="15.45" x14ac:dyDescent="0.3">
      <c r="A11" s="209"/>
      <c r="B11" s="212" t="s">
        <v>181</v>
      </c>
      <c r="C11" s="317"/>
      <c r="D11" s="191"/>
      <c r="E11" s="194"/>
      <c r="F11" s="189"/>
      <c r="G11" s="189"/>
      <c r="H11" s="195"/>
      <c r="I11" s="194"/>
      <c r="J11" s="189"/>
      <c r="K11" s="189"/>
      <c r="L11" s="195"/>
      <c r="M11" s="191"/>
      <c r="N11" s="191"/>
      <c r="O11" s="191"/>
      <c r="P11" s="191"/>
      <c r="Q11" s="213"/>
    </row>
    <row r="12" spans="1:17" s="322" customFormat="1" ht="53.25" customHeight="1" x14ac:dyDescent="0.3">
      <c r="A12" s="383"/>
      <c r="B12" s="384"/>
      <c r="C12" s="234" t="s">
        <v>182</v>
      </c>
      <c r="D12" s="385"/>
      <c r="E12" s="205">
        <f>SUM(F12:H12)</f>
        <v>4831447.0236988282</v>
      </c>
      <c r="F12" s="206">
        <f>0</f>
        <v>0</v>
      </c>
      <c r="G12" s="206">
        <v>1797298.2928159642</v>
      </c>
      <c r="H12" s="392">
        <v>3034148.730882864</v>
      </c>
      <c r="I12" s="205">
        <f>SUM(J12:L12)</f>
        <v>9759522.987871632</v>
      </c>
      <c r="J12" s="206">
        <f>0</f>
        <v>0</v>
      </c>
      <c r="K12" s="206">
        <f t="shared" ref="K12:L14" si="0">+G12+(G12*1.02)</f>
        <v>3630542.5514882477</v>
      </c>
      <c r="L12" s="206">
        <f t="shared" si="0"/>
        <v>6128980.4363833852</v>
      </c>
      <c r="M12" s="207">
        <v>5026637.4834562615</v>
      </c>
      <c r="N12" s="207">
        <v>5127170.2331253858</v>
      </c>
      <c r="O12" s="207">
        <v>5229713.6377878934</v>
      </c>
      <c r="P12" s="207">
        <v>5334307.9700841559</v>
      </c>
      <c r="Q12" s="382" t="s">
        <v>360</v>
      </c>
    </row>
    <row r="13" spans="1:17" ht="37.5" customHeight="1" x14ac:dyDescent="0.3">
      <c r="A13" s="182"/>
      <c r="B13" s="214"/>
      <c r="C13" s="234" t="s">
        <v>183</v>
      </c>
      <c r="D13" s="192"/>
      <c r="E13" s="205">
        <f>SUM(F13:H13)</f>
        <v>2576771.7459727083</v>
      </c>
      <c r="F13" s="206">
        <f>0</f>
        <v>0</v>
      </c>
      <c r="G13" s="206">
        <v>958559.08950184751</v>
      </c>
      <c r="H13" s="392">
        <v>1618212.6564708608</v>
      </c>
      <c r="I13" s="205">
        <f t="shared" ref="I13:I20" si="1">SUM(J13:L13)</f>
        <v>5205078.9268648708</v>
      </c>
      <c r="J13" s="206">
        <f>0</f>
        <v>0</v>
      </c>
      <c r="K13" s="206">
        <f t="shared" si="0"/>
        <v>1936289.3607937321</v>
      </c>
      <c r="L13" s="206">
        <f t="shared" si="0"/>
        <v>3268789.5660711387</v>
      </c>
      <c r="M13" s="207">
        <v>2680873.3245100062</v>
      </c>
      <c r="N13" s="207">
        <v>2734490.791000206</v>
      </c>
      <c r="O13" s="207">
        <v>2789180.6068202103</v>
      </c>
      <c r="P13" s="207">
        <v>2844964.25071155</v>
      </c>
      <c r="Q13" s="382" t="s">
        <v>360</v>
      </c>
    </row>
    <row r="14" spans="1:17" ht="37.5" customHeight="1" x14ac:dyDescent="0.3">
      <c r="A14" s="182"/>
      <c r="B14" s="214"/>
      <c r="C14" s="318" t="s">
        <v>184</v>
      </c>
      <c r="D14" s="192"/>
      <c r="E14" s="205">
        <f>SUM(F14:H14)</f>
        <v>5475639.9601920042</v>
      </c>
      <c r="F14" s="206">
        <f>0</f>
        <v>0</v>
      </c>
      <c r="G14" s="206">
        <v>2036938.0651914258</v>
      </c>
      <c r="H14" s="392">
        <v>3438701.8950005788</v>
      </c>
      <c r="I14" s="205">
        <f t="shared" si="1"/>
        <v>11060792.719587849</v>
      </c>
      <c r="J14" s="206">
        <f>0</f>
        <v>0</v>
      </c>
      <c r="K14" s="206">
        <f t="shared" si="0"/>
        <v>4114614.8916866803</v>
      </c>
      <c r="L14" s="206">
        <f t="shared" si="0"/>
        <v>6946177.8279011697</v>
      </c>
      <c r="M14" s="207">
        <v>5696855.8145837625</v>
      </c>
      <c r="N14" s="207">
        <v>5810792.9308754364</v>
      </c>
      <c r="O14" s="207">
        <v>5927008.7894929461</v>
      </c>
      <c r="P14" s="207">
        <v>6045549.0327620432</v>
      </c>
      <c r="Q14" s="382" t="s">
        <v>360</v>
      </c>
    </row>
    <row r="15" spans="1:17" ht="37.5" customHeight="1" x14ac:dyDescent="0.3">
      <c r="A15" s="182"/>
      <c r="B15" s="214"/>
      <c r="C15" s="234" t="s">
        <v>185</v>
      </c>
      <c r="D15" s="192"/>
      <c r="E15" s="205">
        <f>SUM(F15:H15)</f>
        <v>0</v>
      </c>
      <c r="F15" s="206">
        <f>0</f>
        <v>0</v>
      </c>
      <c r="G15" s="206">
        <f>0</f>
        <v>0</v>
      </c>
      <c r="H15" s="392">
        <f>0</f>
        <v>0</v>
      </c>
      <c r="I15" s="205">
        <f t="shared" si="1"/>
        <v>0</v>
      </c>
      <c r="J15" s="206">
        <f>0</f>
        <v>0</v>
      </c>
      <c r="K15" s="206">
        <f>0</f>
        <v>0</v>
      </c>
      <c r="L15" s="392">
        <f>0</f>
        <v>0</v>
      </c>
      <c r="M15" s="207">
        <f>0</f>
        <v>0</v>
      </c>
      <c r="N15" s="207">
        <f>0</f>
        <v>0</v>
      </c>
      <c r="O15" s="207">
        <f>0</f>
        <v>0</v>
      </c>
      <c r="P15" s="207">
        <f>0</f>
        <v>0</v>
      </c>
      <c r="Q15" s="215"/>
    </row>
    <row r="16" spans="1:17" ht="37.5" customHeight="1" x14ac:dyDescent="0.3">
      <c r="A16" s="182"/>
      <c r="B16" s="214"/>
      <c r="C16" s="234" t="s">
        <v>186</v>
      </c>
      <c r="D16" s="192"/>
      <c r="E16" s="205">
        <f t="shared" ref="E16:E17" si="2">SUM(F16:H16)</f>
        <v>0</v>
      </c>
      <c r="F16" s="206">
        <f>0</f>
        <v>0</v>
      </c>
      <c r="G16" s="206">
        <f>0</f>
        <v>0</v>
      </c>
      <c r="H16" s="392">
        <f>0</f>
        <v>0</v>
      </c>
      <c r="I16" s="205">
        <f t="shared" si="1"/>
        <v>0</v>
      </c>
      <c r="J16" s="206">
        <f>0</f>
        <v>0</v>
      </c>
      <c r="K16" s="206">
        <f>0</f>
        <v>0</v>
      </c>
      <c r="L16" s="392">
        <f>0</f>
        <v>0</v>
      </c>
      <c r="M16" s="207">
        <f>0</f>
        <v>0</v>
      </c>
      <c r="N16" s="207">
        <f>0</f>
        <v>0</v>
      </c>
      <c r="O16" s="207">
        <f>0</f>
        <v>0</v>
      </c>
      <c r="P16" s="207">
        <f>0</f>
        <v>0</v>
      </c>
      <c r="Q16" s="215"/>
    </row>
    <row r="17" spans="1:17" ht="37.5" customHeight="1" x14ac:dyDescent="0.3">
      <c r="A17" s="182"/>
      <c r="B17" s="214"/>
      <c r="C17" s="234" t="s">
        <v>187</v>
      </c>
      <c r="D17" s="192"/>
      <c r="E17" s="205">
        <f t="shared" si="2"/>
        <v>2637494</v>
      </c>
      <c r="F17" s="206">
        <f>0</f>
        <v>0</v>
      </c>
      <c r="G17" s="206">
        <v>981148</v>
      </c>
      <c r="H17" s="392">
        <v>1656346</v>
      </c>
      <c r="I17" s="205">
        <f t="shared" si="1"/>
        <v>5327737.88</v>
      </c>
      <c r="J17" s="206">
        <f>0</f>
        <v>0</v>
      </c>
      <c r="K17" s="206">
        <f>+G17+(G17*1.02)</f>
        <v>1981918.96</v>
      </c>
      <c r="L17" s="206">
        <f>+H17+(H17*1.02)</f>
        <v>3345818.92</v>
      </c>
      <c r="M17" s="207">
        <v>2744049</v>
      </c>
      <c r="N17" s="207">
        <v>2798930</v>
      </c>
      <c r="O17" s="207">
        <v>2854908</v>
      </c>
      <c r="P17" s="207">
        <v>2912006</v>
      </c>
      <c r="Q17" s="382" t="s">
        <v>360</v>
      </c>
    </row>
    <row r="18" spans="1:17" ht="17.600000000000001" x14ac:dyDescent="0.3">
      <c r="A18" s="182"/>
      <c r="B18" s="214"/>
      <c r="C18" s="234" t="s">
        <v>188</v>
      </c>
      <c r="D18" s="192"/>
      <c r="E18" s="205">
        <f t="shared" ref="E18:E20" si="3">SUM(F18:H18)</f>
        <v>3633300.2800000003</v>
      </c>
      <c r="F18" s="206">
        <f>0</f>
        <v>0</v>
      </c>
      <c r="G18" s="206">
        <v>1351587.7041600002</v>
      </c>
      <c r="H18" s="392">
        <v>2281712.5758400001</v>
      </c>
      <c r="I18" s="205">
        <f t="shared" si="1"/>
        <v>7375599.5684000012</v>
      </c>
      <c r="J18" s="206">
        <v>0</v>
      </c>
      <c r="K18" s="206">
        <v>2743723.0394448005</v>
      </c>
      <c r="L18" s="392">
        <v>4631876.5289552007</v>
      </c>
      <c r="M18" s="207">
        <v>3854568.2670520004</v>
      </c>
      <c r="N18" s="207">
        <v>3970205.3150635604</v>
      </c>
      <c r="O18" s="207">
        <v>4089311.4745154674</v>
      </c>
      <c r="P18" s="207">
        <v>4211990.8187509319</v>
      </c>
      <c r="Q18" s="215"/>
    </row>
    <row r="19" spans="1:17" ht="37.5" customHeight="1" x14ac:dyDescent="0.3">
      <c r="A19" s="182"/>
      <c r="B19" s="214"/>
      <c r="C19" s="234" t="s">
        <v>189</v>
      </c>
      <c r="D19" s="192"/>
      <c r="E19" s="205">
        <f t="shared" ref="E19" si="4">SUM(F19:H19)</f>
        <v>0</v>
      </c>
      <c r="F19" s="206">
        <f>0</f>
        <v>0</v>
      </c>
      <c r="G19" s="206">
        <f>0</f>
        <v>0</v>
      </c>
      <c r="H19" s="311"/>
      <c r="I19" s="205">
        <f t="shared" si="1"/>
        <v>0</v>
      </c>
      <c r="J19" s="206">
        <f>0</f>
        <v>0</v>
      </c>
      <c r="K19" s="206">
        <f>0</f>
        <v>0</v>
      </c>
      <c r="L19" s="311"/>
      <c r="M19" s="207">
        <f>0</f>
        <v>0</v>
      </c>
      <c r="N19" s="207">
        <f>0</f>
        <v>0</v>
      </c>
      <c r="O19" s="207">
        <f>0</f>
        <v>0</v>
      </c>
      <c r="P19" s="207">
        <f>0</f>
        <v>0</v>
      </c>
      <c r="Q19" s="215"/>
    </row>
    <row r="20" spans="1:17" ht="37.5" customHeight="1" x14ac:dyDescent="0.3">
      <c r="A20" s="182"/>
      <c r="B20" s="214"/>
      <c r="C20" s="234" t="s">
        <v>189</v>
      </c>
      <c r="D20" s="192"/>
      <c r="E20" s="205">
        <f t="shared" si="3"/>
        <v>0</v>
      </c>
      <c r="F20" s="206">
        <f>0</f>
        <v>0</v>
      </c>
      <c r="G20" s="206">
        <f>0</f>
        <v>0</v>
      </c>
      <c r="H20" s="311"/>
      <c r="I20" s="205">
        <f t="shared" si="1"/>
        <v>0</v>
      </c>
      <c r="J20" s="206">
        <f>0</f>
        <v>0</v>
      </c>
      <c r="K20" s="206">
        <f>0</f>
        <v>0</v>
      </c>
      <c r="L20" s="311"/>
      <c r="M20" s="207">
        <f>0</f>
        <v>0</v>
      </c>
      <c r="N20" s="207">
        <f>0</f>
        <v>0</v>
      </c>
      <c r="O20" s="207">
        <f>0</f>
        <v>0</v>
      </c>
      <c r="P20" s="207">
        <f>0</f>
        <v>0</v>
      </c>
      <c r="Q20" s="215"/>
    </row>
    <row r="21" spans="1:17" ht="20.149999999999999" customHeight="1" x14ac:dyDescent="0.3">
      <c r="A21" s="182"/>
      <c r="B21" s="212" t="s">
        <v>190</v>
      </c>
      <c r="C21" s="319"/>
      <c r="D21" s="193"/>
      <c r="E21" s="196"/>
      <c r="F21" s="190"/>
      <c r="G21" s="190"/>
      <c r="H21" s="197"/>
      <c r="I21" s="196"/>
      <c r="J21" s="190"/>
      <c r="K21" s="190"/>
      <c r="L21" s="197"/>
      <c r="M21" s="198"/>
      <c r="N21" s="198"/>
      <c r="O21" s="198"/>
      <c r="P21" s="198"/>
      <c r="Q21" s="213"/>
    </row>
    <row r="22" spans="1:17" ht="37.5" customHeight="1" x14ac:dyDescent="0.3">
      <c r="A22" s="182"/>
      <c r="B22" s="211"/>
      <c r="C22" s="234" t="s">
        <v>191</v>
      </c>
      <c r="D22" s="192"/>
      <c r="E22" s="205">
        <f t="shared" ref="E22:E26" si="5">SUM(F22:H22)</f>
        <v>761592.65280000004</v>
      </c>
      <c r="F22" s="206">
        <f>0</f>
        <v>0</v>
      </c>
      <c r="G22" s="206">
        <v>283312.46684160002</v>
      </c>
      <c r="H22" s="392">
        <v>478280.18595840002</v>
      </c>
      <c r="I22" s="205">
        <f t="shared" ref="I22:I26" si="6">SUM(J22:L22)</f>
        <v>1564006.6717900797</v>
      </c>
      <c r="J22" s="206">
        <v>0</v>
      </c>
      <c r="K22" s="206">
        <v>581810.48190590984</v>
      </c>
      <c r="L22" s="392">
        <f>982196.18988417</f>
        <v>982196.18988416996</v>
      </c>
      <c r="M22" s="207">
        <v>845423.41040794842</v>
      </c>
      <c r="N22" s="207">
        <v>890738.10520581459</v>
      </c>
      <c r="O22" s="207">
        <v>938481.66764484637</v>
      </c>
      <c r="P22" s="207">
        <v>988784.28503061028</v>
      </c>
      <c r="Q22" s="215"/>
    </row>
    <row r="23" spans="1:17" ht="37.5" customHeight="1" x14ac:dyDescent="0.3">
      <c r="A23" s="182"/>
      <c r="B23" s="211"/>
      <c r="C23" s="234" t="s">
        <v>192</v>
      </c>
      <c r="D23" s="192"/>
      <c r="E23" s="406">
        <f t="shared" si="5"/>
        <v>2124000</v>
      </c>
      <c r="F23" s="407">
        <f>0</f>
        <v>0</v>
      </c>
      <c r="G23" s="407">
        <v>2124000</v>
      </c>
      <c r="H23" s="408">
        <f>0</f>
        <v>0</v>
      </c>
      <c r="I23" s="406">
        <f t="shared" si="6"/>
        <v>2336400</v>
      </c>
      <c r="J23" s="407">
        <f>0</f>
        <v>0</v>
      </c>
      <c r="K23" s="407">
        <f>G23*1.1</f>
        <v>2336400</v>
      </c>
      <c r="L23" s="408"/>
      <c r="M23" s="409">
        <f>K23*1.02</f>
        <v>2383128</v>
      </c>
      <c r="N23" s="409">
        <f>+M23*1.02</f>
        <v>2430790.56</v>
      </c>
      <c r="O23" s="409">
        <f>N23*1.02</f>
        <v>2479406.3711999999</v>
      </c>
      <c r="P23" s="409">
        <f>O23*1.02</f>
        <v>2528994.4986239998</v>
      </c>
      <c r="Q23" s="382" t="s">
        <v>363</v>
      </c>
    </row>
    <row r="24" spans="1:17" ht="37.5" customHeight="1" x14ac:dyDescent="0.3">
      <c r="A24" s="182"/>
      <c r="B24" s="211"/>
      <c r="C24" s="234" t="s">
        <v>193</v>
      </c>
      <c r="D24" s="192"/>
      <c r="E24" s="406">
        <f t="shared" si="5"/>
        <v>2800000</v>
      </c>
      <c r="F24" s="407">
        <f>0</f>
        <v>0</v>
      </c>
      <c r="G24" s="407">
        <v>2800000</v>
      </c>
      <c r="H24" s="408">
        <f>0</f>
        <v>0</v>
      </c>
      <c r="I24" s="406">
        <f t="shared" si="6"/>
        <v>3080000.0000000005</v>
      </c>
      <c r="J24" s="407">
        <f>0</f>
        <v>0</v>
      </c>
      <c r="K24" s="407">
        <f>G24*1.1</f>
        <v>3080000.0000000005</v>
      </c>
      <c r="L24" s="408"/>
      <c r="M24" s="409">
        <f>K24*1.02</f>
        <v>3141600.0000000005</v>
      </c>
      <c r="N24" s="409">
        <f>+M24*1.02</f>
        <v>3204432.0000000005</v>
      </c>
      <c r="O24" s="409">
        <f>N24*1.02</f>
        <v>3268520.6400000006</v>
      </c>
      <c r="P24" s="409">
        <f>O24*1.02</f>
        <v>3333891.0528000006</v>
      </c>
      <c r="Q24" s="382" t="s">
        <v>363</v>
      </c>
    </row>
    <row r="25" spans="1:17" ht="75.75" customHeight="1" x14ac:dyDescent="0.3">
      <c r="A25" s="182"/>
      <c r="B25" s="211"/>
      <c r="C25" s="234" t="s">
        <v>358</v>
      </c>
      <c r="D25" s="192"/>
      <c r="E25" s="406">
        <f t="shared" ref="E25" si="7">SUM(F25:H25)</f>
        <v>2376326</v>
      </c>
      <c r="F25" s="407">
        <f>0</f>
        <v>0</v>
      </c>
      <c r="G25" s="407">
        <v>2376326</v>
      </c>
      <c r="H25" s="408"/>
      <c r="I25" s="406">
        <f t="shared" si="6"/>
        <v>4752652</v>
      </c>
      <c r="J25" s="407">
        <v>0</v>
      </c>
      <c r="K25" s="407">
        <v>4752652</v>
      </c>
      <c r="L25" s="408"/>
      <c r="M25" s="409">
        <v>2376326</v>
      </c>
      <c r="N25" s="409">
        <v>2376326</v>
      </c>
      <c r="O25" s="409">
        <v>2376326</v>
      </c>
      <c r="P25" s="409">
        <v>2376326</v>
      </c>
      <c r="Q25" s="382" t="s">
        <v>359</v>
      </c>
    </row>
    <row r="26" spans="1:17" ht="59.25" customHeight="1" x14ac:dyDescent="0.3">
      <c r="A26" s="182"/>
      <c r="B26" s="211"/>
      <c r="C26" s="234" t="s">
        <v>361</v>
      </c>
      <c r="D26" s="192"/>
      <c r="E26" s="406">
        <f t="shared" si="5"/>
        <v>866643</v>
      </c>
      <c r="F26" s="407">
        <f>0</f>
        <v>0</v>
      </c>
      <c r="G26" s="407">
        <v>866643</v>
      </c>
      <c r="H26" s="408">
        <v>0</v>
      </c>
      <c r="I26" s="406">
        <f t="shared" si="6"/>
        <v>866643</v>
      </c>
      <c r="J26" s="407">
        <v>0</v>
      </c>
      <c r="K26" s="407">
        <f>+G26+0</f>
        <v>866643</v>
      </c>
      <c r="L26" s="408">
        <v>0</v>
      </c>
      <c r="M26" s="409">
        <f>+K26</f>
        <v>866643</v>
      </c>
      <c r="N26" s="409">
        <f>+M26+506637</f>
        <v>1373280</v>
      </c>
      <c r="O26" s="409">
        <f>+N26</f>
        <v>1373280</v>
      </c>
      <c r="P26" s="409">
        <f>+O26</f>
        <v>1373280</v>
      </c>
      <c r="Q26" s="382" t="s">
        <v>362</v>
      </c>
    </row>
    <row r="27" spans="1:17" ht="20.149999999999999" customHeight="1" x14ac:dyDescent="0.3">
      <c r="A27" s="182"/>
      <c r="B27" s="212" t="s">
        <v>194</v>
      </c>
      <c r="C27" s="319"/>
      <c r="D27" s="193"/>
      <c r="E27" s="196"/>
      <c r="F27" s="190"/>
      <c r="G27" s="190"/>
      <c r="H27" s="197"/>
      <c r="I27" s="196"/>
      <c r="J27" s="190"/>
      <c r="K27" s="190"/>
      <c r="L27" s="197"/>
      <c r="M27" s="198"/>
      <c r="N27" s="198"/>
      <c r="O27" s="198"/>
      <c r="P27" s="198"/>
      <c r="Q27" s="213"/>
    </row>
    <row r="28" spans="1:17" ht="37.5" customHeight="1" x14ac:dyDescent="0.3">
      <c r="A28" s="182"/>
      <c r="B28" s="211"/>
      <c r="C28" s="318" t="s">
        <v>195</v>
      </c>
      <c r="D28" s="192"/>
      <c r="E28" s="205">
        <f t="shared" ref="E28:E29" si="8">SUM(F28:H28)</f>
        <v>0</v>
      </c>
      <c r="F28" s="206">
        <f>0</f>
        <v>0</v>
      </c>
      <c r="G28" s="206">
        <f>0</f>
        <v>0</v>
      </c>
      <c r="H28" s="311"/>
      <c r="I28" s="205">
        <f t="shared" ref="I28:I29" si="9">SUM(J28:L28)</f>
        <v>0</v>
      </c>
      <c r="J28" s="206">
        <f>0</f>
        <v>0</v>
      </c>
      <c r="K28" s="206">
        <f>0</f>
        <v>0</v>
      </c>
      <c r="L28" s="311"/>
      <c r="M28" s="207">
        <f>0</f>
        <v>0</v>
      </c>
      <c r="N28" s="207">
        <f>0</f>
        <v>0</v>
      </c>
      <c r="O28" s="207">
        <f>0</f>
        <v>0</v>
      </c>
      <c r="P28" s="207">
        <f>0</f>
        <v>0</v>
      </c>
      <c r="Q28" s="215"/>
    </row>
    <row r="29" spans="1:17" ht="37.5" customHeight="1" x14ac:dyDescent="0.3">
      <c r="A29" s="182"/>
      <c r="B29" s="211"/>
      <c r="C29" s="318" t="s">
        <v>196</v>
      </c>
      <c r="D29" s="192"/>
      <c r="E29" s="205">
        <f t="shared" si="8"/>
        <v>0</v>
      </c>
      <c r="F29" s="206">
        <f>0</f>
        <v>0</v>
      </c>
      <c r="G29" s="206">
        <f>0</f>
        <v>0</v>
      </c>
      <c r="H29" s="311"/>
      <c r="I29" s="205">
        <f t="shared" si="9"/>
        <v>0</v>
      </c>
      <c r="J29" s="206">
        <f>0</f>
        <v>0</v>
      </c>
      <c r="K29" s="206">
        <f>0</f>
        <v>0</v>
      </c>
      <c r="L29" s="311"/>
      <c r="M29" s="207">
        <f>0</f>
        <v>0</v>
      </c>
      <c r="N29" s="207">
        <f>0</f>
        <v>0</v>
      </c>
      <c r="O29" s="207">
        <f>0</f>
        <v>0</v>
      </c>
      <c r="P29" s="207">
        <f>0</f>
        <v>0</v>
      </c>
      <c r="Q29" s="215"/>
    </row>
    <row r="30" spans="1:17" ht="37.5" customHeight="1" x14ac:dyDescent="0.3">
      <c r="A30" s="182"/>
      <c r="B30" s="214"/>
      <c r="C30" s="234" t="s">
        <v>189</v>
      </c>
      <c r="D30" s="192"/>
      <c r="E30" s="205">
        <f>SUM(F30:H30)</f>
        <v>0</v>
      </c>
      <c r="F30" s="206">
        <f>0</f>
        <v>0</v>
      </c>
      <c r="G30" s="206">
        <f>0</f>
        <v>0</v>
      </c>
      <c r="H30" s="311"/>
      <c r="I30" s="205">
        <f>SUM(J30:L30)</f>
        <v>0</v>
      </c>
      <c r="J30" s="206">
        <f>0</f>
        <v>0</v>
      </c>
      <c r="K30" s="206">
        <f>0</f>
        <v>0</v>
      </c>
      <c r="L30" s="311"/>
      <c r="M30" s="207">
        <f>0</f>
        <v>0</v>
      </c>
      <c r="N30" s="207">
        <f>0</f>
        <v>0</v>
      </c>
      <c r="O30" s="207">
        <f>0</f>
        <v>0</v>
      </c>
      <c r="P30" s="207">
        <f>0</f>
        <v>0</v>
      </c>
      <c r="Q30" s="215"/>
    </row>
    <row r="31" spans="1:17" ht="37.5" customHeight="1" x14ac:dyDescent="0.3">
      <c r="A31" s="182"/>
      <c r="B31" s="214"/>
      <c r="C31" s="234" t="s">
        <v>189</v>
      </c>
      <c r="D31" s="192"/>
      <c r="E31" s="205">
        <f>SUM(F31:H31)</f>
        <v>0</v>
      </c>
      <c r="F31" s="206">
        <f>0</f>
        <v>0</v>
      </c>
      <c r="G31" s="206">
        <f>0</f>
        <v>0</v>
      </c>
      <c r="H31" s="311"/>
      <c r="I31" s="205">
        <f>SUM(J31:L31)</f>
        <v>0</v>
      </c>
      <c r="J31" s="206">
        <f>0</f>
        <v>0</v>
      </c>
      <c r="K31" s="206">
        <f>0</f>
        <v>0</v>
      </c>
      <c r="L31" s="311"/>
      <c r="M31" s="207">
        <f>0</f>
        <v>0</v>
      </c>
      <c r="N31" s="207">
        <f>0</f>
        <v>0</v>
      </c>
      <c r="O31" s="207">
        <f>0</f>
        <v>0</v>
      </c>
      <c r="P31" s="207">
        <f>0</f>
        <v>0</v>
      </c>
      <c r="Q31" s="215"/>
    </row>
    <row r="32" spans="1:17" ht="20.149999999999999" customHeight="1" x14ac:dyDescent="0.3">
      <c r="A32" s="182"/>
      <c r="B32" s="212" t="s">
        <v>197</v>
      </c>
      <c r="C32" s="319"/>
      <c r="D32" s="193"/>
      <c r="E32" s="196"/>
      <c r="F32" s="190"/>
      <c r="G32" s="190"/>
      <c r="H32" s="197"/>
      <c r="I32" s="196"/>
      <c r="J32" s="190"/>
      <c r="K32" s="190"/>
      <c r="L32" s="197"/>
      <c r="M32" s="198"/>
      <c r="N32" s="198"/>
      <c r="O32" s="198"/>
      <c r="P32" s="198"/>
      <c r="Q32" s="213"/>
    </row>
    <row r="33" spans="1:17" ht="37.5" customHeight="1" x14ac:dyDescent="0.3">
      <c r="A33" s="182"/>
      <c r="B33" s="203"/>
      <c r="C33" s="234" t="s">
        <v>189</v>
      </c>
      <c r="D33" s="192"/>
      <c r="E33" s="205">
        <f t="shared" ref="E33" si="10">SUM(F33:H33)</f>
        <v>0</v>
      </c>
      <c r="F33" s="206">
        <f>0</f>
        <v>0</v>
      </c>
      <c r="G33" s="206">
        <f>0</f>
        <v>0</v>
      </c>
      <c r="H33" s="311"/>
      <c r="I33" s="205">
        <f t="shared" ref="I33" si="11">SUM(J33:L33)</f>
        <v>0</v>
      </c>
      <c r="J33" s="206">
        <f>0</f>
        <v>0</v>
      </c>
      <c r="K33" s="206">
        <f>0</f>
        <v>0</v>
      </c>
      <c r="L33" s="311"/>
      <c r="M33" s="207">
        <f>0</f>
        <v>0</v>
      </c>
      <c r="N33" s="207">
        <f>0</f>
        <v>0</v>
      </c>
      <c r="O33" s="207">
        <f>0</f>
        <v>0</v>
      </c>
      <c r="P33" s="207">
        <f>0</f>
        <v>0</v>
      </c>
      <c r="Q33" s="215"/>
    </row>
    <row r="34" spans="1:17" ht="37.5" customHeight="1" x14ac:dyDescent="0.3">
      <c r="A34" s="182"/>
      <c r="B34" s="203"/>
      <c r="C34" s="234" t="s">
        <v>189</v>
      </c>
      <c r="D34" s="192"/>
      <c r="E34" s="205">
        <f t="shared" ref="E34" si="12">SUM(F34:H34)</f>
        <v>0</v>
      </c>
      <c r="F34" s="206">
        <f>0</f>
        <v>0</v>
      </c>
      <c r="G34" s="206">
        <f>0</f>
        <v>0</v>
      </c>
      <c r="H34" s="311"/>
      <c r="I34" s="205">
        <f t="shared" ref="I34" si="13">SUM(J34:L34)</f>
        <v>0</v>
      </c>
      <c r="J34" s="206">
        <f>0</f>
        <v>0</v>
      </c>
      <c r="K34" s="206">
        <f>0</f>
        <v>0</v>
      </c>
      <c r="L34" s="311"/>
      <c r="M34" s="207">
        <f>0</f>
        <v>0</v>
      </c>
      <c r="N34" s="207">
        <f>0</f>
        <v>0</v>
      </c>
      <c r="O34" s="207">
        <f>0</f>
        <v>0</v>
      </c>
      <c r="P34" s="207">
        <f>0</f>
        <v>0</v>
      </c>
      <c r="Q34" s="215"/>
    </row>
    <row r="35" spans="1:17" ht="37.5" customHeight="1" x14ac:dyDescent="0.3">
      <c r="A35" s="182"/>
      <c r="B35" s="203"/>
      <c r="C35" s="234" t="s">
        <v>189</v>
      </c>
      <c r="D35" s="192"/>
      <c r="E35" s="205">
        <f t="shared" ref="E35:E37" si="14">SUM(F35:H35)</f>
        <v>0</v>
      </c>
      <c r="F35" s="206">
        <f>0</f>
        <v>0</v>
      </c>
      <c r="G35" s="206">
        <f>0</f>
        <v>0</v>
      </c>
      <c r="H35" s="311"/>
      <c r="I35" s="205">
        <f t="shared" ref="I35:I37" si="15">SUM(J35:L35)</f>
        <v>0</v>
      </c>
      <c r="J35" s="206">
        <f>0</f>
        <v>0</v>
      </c>
      <c r="K35" s="206">
        <f>0</f>
        <v>0</v>
      </c>
      <c r="L35" s="311"/>
      <c r="M35" s="207">
        <f>0</f>
        <v>0</v>
      </c>
      <c r="N35" s="207">
        <f>0</f>
        <v>0</v>
      </c>
      <c r="O35" s="207">
        <f>0</f>
        <v>0</v>
      </c>
      <c r="P35" s="207">
        <f>0</f>
        <v>0</v>
      </c>
      <c r="Q35" s="215"/>
    </row>
    <row r="36" spans="1:17" ht="37.5" customHeight="1" x14ac:dyDescent="0.3">
      <c r="A36" s="182"/>
      <c r="B36" s="203"/>
      <c r="C36" s="234" t="s">
        <v>189</v>
      </c>
      <c r="D36" s="192"/>
      <c r="E36" s="205">
        <f t="shared" si="14"/>
        <v>0</v>
      </c>
      <c r="F36" s="206">
        <f>0</f>
        <v>0</v>
      </c>
      <c r="G36" s="206">
        <f>0</f>
        <v>0</v>
      </c>
      <c r="H36" s="311"/>
      <c r="I36" s="205">
        <f t="shared" si="15"/>
        <v>0</v>
      </c>
      <c r="J36" s="206">
        <f>0</f>
        <v>0</v>
      </c>
      <c r="K36" s="206">
        <f>0</f>
        <v>0</v>
      </c>
      <c r="L36" s="311"/>
      <c r="M36" s="207">
        <f>0</f>
        <v>0</v>
      </c>
      <c r="N36" s="207">
        <f>0</f>
        <v>0</v>
      </c>
      <c r="O36" s="207">
        <f>0</f>
        <v>0</v>
      </c>
      <c r="P36" s="207">
        <f>0</f>
        <v>0</v>
      </c>
      <c r="Q36" s="215"/>
    </row>
    <row r="37" spans="1:17" ht="37.5" customHeight="1" x14ac:dyDescent="0.3">
      <c r="A37" s="182"/>
      <c r="B37" s="203"/>
      <c r="C37" s="234" t="s">
        <v>189</v>
      </c>
      <c r="D37" s="192"/>
      <c r="E37" s="205">
        <f t="shared" si="14"/>
        <v>0</v>
      </c>
      <c r="F37" s="206">
        <f>0</f>
        <v>0</v>
      </c>
      <c r="G37" s="206">
        <f>0</f>
        <v>0</v>
      </c>
      <c r="H37" s="311"/>
      <c r="I37" s="205">
        <f t="shared" si="15"/>
        <v>0</v>
      </c>
      <c r="J37" s="206">
        <f>0</f>
        <v>0</v>
      </c>
      <c r="K37" s="206">
        <f>0</f>
        <v>0</v>
      </c>
      <c r="L37" s="311"/>
      <c r="M37" s="207">
        <f>0</f>
        <v>0</v>
      </c>
      <c r="N37" s="207">
        <f>0</f>
        <v>0</v>
      </c>
      <c r="O37" s="207">
        <f>0</f>
        <v>0</v>
      </c>
      <c r="P37" s="207">
        <f>0</f>
        <v>0</v>
      </c>
      <c r="Q37" s="215"/>
    </row>
    <row r="38" spans="1:17" ht="20.149999999999999" customHeight="1" x14ac:dyDescent="0.3">
      <c r="A38" s="182"/>
      <c r="B38" s="212" t="s">
        <v>198</v>
      </c>
      <c r="C38" s="319"/>
      <c r="D38" s="193"/>
      <c r="E38" s="196"/>
      <c r="F38" s="190"/>
      <c r="G38" s="190"/>
      <c r="H38" s="197"/>
      <c r="I38" s="196"/>
      <c r="J38" s="190"/>
      <c r="K38" s="190"/>
      <c r="L38" s="197"/>
      <c r="M38" s="198"/>
      <c r="N38" s="198"/>
      <c r="O38" s="198"/>
      <c r="P38" s="198"/>
      <c r="Q38" s="213"/>
    </row>
    <row r="39" spans="1:17" ht="37.5" customHeight="1" x14ac:dyDescent="0.3">
      <c r="A39" s="182"/>
      <c r="B39" s="214"/>
      <c r="C39" s="234" t="s">
        <v>189</v>
      </c>
      <c r="D39" s="192"/>
      <c r="E39" s="205">
        <f t="shared" ref="E39:E42" si="16">SUM(F39:H39)</f>
        <v>0</v>
      </c>
      <c r="F39" s="206">
        <f>0</f>
        <v>0</v>
      </c>
      <c r="G39" s="206">
        <f>0</f>
        <v>0</v>
      </c>
      <c r="H39" s="311"/>
      <c r="I39" s="205">
        <f t="shared" ref="I39:I42" si="17">SUM(J39:L39)</f>
        <v>0</v>
      </c>
      <c r="J39" s="206">
        <f>0</f>
        <v>0</v>
      </c>
      <c r="K39" s="206">
        <f>0</f>
        <v>0</v>
      </c>
      <c r="L39" s="311"/>
      <c r="M39" s="207">
        <f>0</f>
        <v>0</v>
      </c>
      <c r="N39" s="207">
        <f>0</f>
        <v>0</v>
      </c>
      <c r="O39" s="207">
        <f>0</f>
        <v>0</v>
      </c>
      <c r="P39" s="207">
        <f>0</f>
        <v>0</v>
      </c>
      <c r="Q39" s="215"/>
    </row>
    <row r="40" spans="1:17" ht="37.5" customHeight="1" x14ac:dyDescent="0.3">
      <c r="A40" s="182"/>
      <c r="B40" s="214"/>
      <c r="C40" s="234" t="s">
        <v>189</v>
      </c>
      <c r="D40" s="192"/>
      <c r="E40" s="205">
        <f t="shared" si="16"/>
        <v>0</v>
      </c>
      <c r="F40" s="206">
        <f>0</f>
        <v>0</v>
      </c>
      <c r="G40" s="206">
        <f>0</f>
        <v>0</v>
      </c>
      <c r="H40" s="311"/>
      <c r="I40" s="205">
        <f t="shared" si="17"/>
        <v>0</v>
      </c>
      <c r="J40" s="206">
        <f>0</f>
        <v>0</v>
      </c>
      <c r="K40" s="206">
        <f>0</f>
        <v>0</v>
      </c>
      <c r="L40" s="311"/>
      <c r="M40" s="207">
        <f>0</f>
        <v>0</v>
      </c>
      <c r="N40" s="207">
        <f>0</f>
        <v>0</v>
      </c>
      <c r="O40" s="207">
        <f>0</f>
        <v>0</v>
      </c>
      <c r="P40" s="207">
        <f>0</f>
        <v>0</v>
      </c>
      <c r="Q40" s="215"/>
    </row>
    <row r="41" spans="1:17" ht="37.5" customHeight="1" x14ac:dyDescent="0.3">
      <c r="A41" s="182"/>
      <c r="B41" s="214"/>
      <c r="C41" s="234" t="s">
        <v>189</v>
      </c>
      <c r="D41" s="192"/>
      <c r="E41" s="205">
        <f t="shared" ref="E41" si="18">SUM(F41:H41)</f>
        <v>0</v>
      </c>
      <c r="F41" s="206">
        <f>0</f>
        <v>0</v>
      </c>
      <c r="G41" s="206">
        <f>0</f>
        <v>0</v>
      </c>
      <c r="H41" s="311"/>
      <c r="I41" s="205">
        <f t="shared" ref="I41" si="19">SUM(J41:L41)</f>
        <v>0</v>
      </c>
      <c r="J41" s="206">
        <f>0</f>
        <v>0</v>
      </c>
      <c r="K41" s="206">
        <f>0</f>
        <v>0</v>
      </c>
      <c r="L41" s="311"/>
      <c r="M41" s="207">
        <f>0</f>
        <v>0</v>
      </c>
      <c r="N41" s="207">
        <f>0</f>
        <v>0</v>
      </c>
      <c r="O41" s="207">
        <f>0</f>
        <v>0</v>
      </c>
      <c r="P41" s="207">
        <f>0</f>
        <v>0</v>
      </c>
      <c r="Q41" s="215"/>
    </row>
    <row r="42" spans="1:17" ht="37.5" customHeight="1" x14ac:dyDescent="0.3">
      <c r="A42" s="182"/>
      <c r="B42" s="214"/>
      <c r="C42" s="234" t="s">
        <v>189</v>
      </c>
      <c r="D42" s="192"/>
      <c r="E42" s="205">
        <f t="shared" si="16"/>
        <v>0</v>
      </c>
      <c r="F42" s="206">
        <f>0</f>
        <v>0</v>
      </c>
      <c r="G42" s="206">
        <f>0</f>
        <v>0</v>
      </c>
      <c r="H42" s="311"/>
      <c r="I42" s="205">
        <f t="shared" si="17"/>
        <v>0</v>
      </c>
      <c r="J42" s="206">
        <f>0</f>
        <v>0</v>
      </c>
      <c r="K42" s="206">
        <f>0</f>
        <v>0</v>
      </c>
      <c r="L42" s="311"/>
      <c r="M42" s="207">
        <f>0</f>
        <v>0</v>
      </c>
      <c r="N42" s="207">
        <f>0</f>
        <v>0</v>
      </c>
      <c r="O42" s="207">
        <f>0</f>
        <v>0</v>
      </c>
      <c r="P42" s="207">
        <f>0</f>
        <v>0</v>
      </c>
      <c r="Q42" s="215"/>
    </row>
    <row r="43" spans="1:17" ht="37.5" customHeight="1" x14ac:dyDescent="0.3">
      <c r="A43" s="182"/>
      <c r="B43" s="214"/>
      <c r="C43" s="234" t="s">
        <v>189</v>
      </c>
      <c r="D43" s="192"/>
      <c r="E43" s="205">
        <f t="shared" ref="E43" si="20">SUM(F43:H43)</f>
        <v>0</v>
      </c>
      <c r="F43" s="206">
        <f>0</f>
        <v>0</v>
      </c>
      <c r="G43" s="206">
        <f>0</f>
        <v>0</v>
      </c>
      <c r="H43" s="311"/>
      <c r="I43" s="205">
        <f t="shared" ref="I43" si="21">SUM(J43:L43)</f>
        <v>0</v>
      </c>
      <c r="J43" s="206">
        <f>0</f>
        <v>0</v>
      </c>
      <c r="K43" s="206">
        <f>0</f>
        <v>0</v>
      </c>
      <c r="L43" s="311"/>
      <c r="M43" s="207">
        <f>0</f>
        <v>0</v>
      </c>
      <c r="N43" s="207">
        <f>0</f>
        <v>0</v>
      </c>
      <c r="O43" s="207">
        <f>0</f>
        <v>0</v>
      </c>
      <c r="P43" s="207">
        <f>0</f>
        <v>0</v>
      </c>
      <c r="Q43" s="215"/>
    </row>
    <row r="44" spans="1:17" ht="20.149999999999999" customHeight="1" x14ac:dyDescent="0.3">
      <c r="A44" s="182"/>
      <c r="B44" s="212" t="s">
        <v>199</v>
      </c>
      <c r="C44" s="319"/>
      <c r="D44" s="193"/>
      <c r="E44" s="196"/>
      <c r="F44" s="190"/>
      <c r="G44" s="190"/>
      <c r="H44" s="197"/>
      <c r="I44" s="196"/>
      <c r="J44" s="190"/>
      <c r="K44" s="190"/>
      <c r="L44" s="197"/>
      <c r="M44" s="198"/>
      <c r="N44" s="198"/>
      <c r="O44" s="198"/>
      <c r="P44" s="198"/>
      <c r="Q44" s="213"/>
    </row>
    <row r="45" spans="1:17" ht="37.5" customHeight="1" x14ac:dyDescent="0.3">
      <c r="A45" s="182"/>
      <c r="B45" s="214"/>
      <c r="C45" s="234" t="s">
        <v>189</v>
      </c>
      <c r="D45" s="192"/>
      <c r="E45" s="205">
        <f t="shared" ref="E45:E46" si="22">SUM(F45:H45)</f>
        <v>0</v>
      </c>
      <c r="F45" s="206">
        <f>0</f>
        <v>0</v>
      </c>
      <c r="G45" s="206">
        <f>0</f>
        <v>0</v>
      </c>
      <c r="H45" s="311"/>
      <c r="I45" s="205">
        <f t="shared" ref="I45:I46" si="23">SUM(J45:L45)</f>
        <v>0</v>
      </c>
      <c r="J45" s="206">
        <f>0</f>
        <v>0</v>
      </c>
      <c r="K45" s="206">
        <f>0</f>
        <v>0</v>
      </c>
      <c r="L45" s="311"/>
      <c r="M45" s="207">
        <f>0</f>
        <v>0</v>
      </c>
      <c r="N45" s="207">
        <f>0</f>
        <v>0</v>
      </c>
      <c r="O45" s="207">
        <f>0</f>
        <v>0</v>
      </c>
      <c r="P45" s="207">
        <f>0</f>
        <v>0</v>
      </c>
      <c r="Q45" s="215"/>
    </row>
    <row r="46" spans="1:17" ht="37.5" customHeight="1" x14ac:dyDescent="0.3">
      <c r="A46" s="182"/>
      <c r="B46" s="214"/>
      <c r="C46" s="234" t="s">
        <v>189</v>
      </c>
      <c r="D46" s="192"/>
      <c r="E46" s="205">
        <f t="shared" si="22"/>
        <v>0</v>
      </c>
      <c r="F46" s="206">
        <f>0</f>
        <v>0</v>
      </c>
      <c r="G46" s="206">
        <f>0</f>
        <v>0</v>
      </c>
      <c r="H46" s="311"/>
      <c r="I46" s="205">
        <f t="shared" si="23"/>
        <v>0</v>
      </c>
      <c r="J46" s="206">
        <f>0</f>
        <v>0</v>
      </c>
      <c r="K46" s="206">
        <f>0</f>
        <v>0</v>
      </c>
      <c r="L46" s="311"/>
      <c r="M46" s="207">
        <f>0</f>
        <v>0</v>
      </c>
      <c r="N46" s="207">
        <f>0</f>
        <v>0</v>
      </c>
      <c r="O46" s="207">
        <f>0</f>
        <v>0</v>
      </c>
      <c r="P46" s="207">
        <f>0</f>
        <v>0</v>
      </c>
      <c r="Q46" s="215"/>
    </row>
    <row r="47" spans="1:17" ht="37.5" customHeight="1" x14ac:dyDescent="0.3">
      <c r="A47" s="182"/>
      <c r="B47" s="214"/>
      <c r="C47" s="234" t="s">
        <v>189</v>
      </c>
      <c r="D47" s="192"/>
      <c r="E47" s="205">
        <f t="shared" ref="E47" si="24">SUM(F47:H47)</f>
        <v>0</v>
      </c>
      <c r="F47" s="206">
        <f>0</f>
        <v>0</v>
      </c>
      <c r="G47" s="206">
        <f>0</f>
        <v>0</v>
      </c>
      <c r="H47" s="311"/>
      <c r="I47" s="205">
        <f t="shared" ref="I47" si="25">SUM(J47:L47)</f>
        <v>0</v>
      </c>
      <c r="J47" s="206">
        <f>0</f>
        <v>0</v>
      </c>
      <c r="K47" s="206">
        <f>0</f>
        <v>0</v>
      </c>
      <c r="L47" s="311"/>
      <c r="M47" s="207">
        <f>0</f>
        <v>0</v>
      </c>
      <c r="N47" s="207">
        <f>0</f>
        <v>0</v>
      </c>
      <c r="O47" s="207">
        <f>0</f>
        <v>0</v>
      </c>
      <c r="P47" s="207">
        <f>0</f>
        <v>0</v>
      </c>
      <c r="Q47" s="215"/>
    </row>
    <row r="48" spans="1:17" ht="37.5" customHeight="1" x14ac:dyDescent="0.3">
      <c r="A48" s="182"/>
      <c r="B48" s="214"/>
      <c r="C48" s="234" t="s">
        <v>189</v>
      </c>
      <c r="D48" s="192"/>
      <c r="E48" s="205">
        <f t="shared" ref="E48" si="26">SUM(F48:H48)</f>
        <v>0</v>
      </c>
      <c r="F48" s="206">
        <f>0</f>
        <v>0</v>
      </c>
      <c r="G48" s="206">
        <f>0</f>
        <v>0</v>
      </c>
      <c r="H48" s="311"/>
      <c r="I48" s="205">
        <f t="shared" ref="I48" si="27">SUM(J48:L48)</f>
        <v>0</v>
      </c>
      <c r="J48" s="206">
        <f>0</f>
        <v>0</v>
      </c>
      <c r="K48" s="206">
        <f>0</f>
        <v>0</v>
      </c>
      <c r="L48" s="311"/>
      <c r="M48" s="207">
        <f>0</f>
        <v>0</v>
      </c>
      <c r="N48" s="207">
        <f>0</f>
        <v>0</v>
      </c>
      <c r="O48" s="207">
        <f>0</f>
        <v>0</v>
      </c>
      <c r="P48" s="207">
        <f>0</f>
        <v>0</v>
      </c>
      <c r="Q48" s="215"/>
    </row>
    <row r="49" spans="1:17" ht="37.5" customHeight="1" thickBot="1" x14ac:dyDescent="0.35">
      <c r="A49" s="182"/>
      <c r="B49" s="214"/>
      <c r="C49" s="234" t="s">
        <v>189</v>
      </c>
      <c r="D49" s="192"/>
      <c r="E49" s="205">
        <f t="shared" ref="E49" si="28">SUM(F49:H49)</f>
        <v>0</v>
      </c>
      <c r="F49" s="206">
        <f>0</f>
        <v>0</v>
      </c>
      <c r="G49" s="206">
        <f>0</f>
        <v>0</v>
      </c>
      <c r="H49" s="311"/>
      <c r="I49" s="205">
        <f t="shared" ref="I49" si="29">SUM(J49:L49)</f>
        <v>0</v>
      </c>
      <c r="J49" s="206">
        <f>0</f>
        <v>0</v>
      </c>
      <c r="K49" s="206">
        <f>0</f>
        <v>0</v>
      </c>
      <c r="L49" s="311"/>
      <c r="M49" s="207">
        <f>0</f>
        <v>0</v>
      </c>
      <c r="N49" s="207">
        <f>0</f>
        <v>0</v>
      </c>
      <c r="O49" s="207">
        <f>0</f>
        <v>0</v>
      </c>
      <c r="P49" s="207">
        <f>0</f>
        <v>0</v>
      </c>
      <c r="Q49" s="215"/>
    </row>
    <row r="50" spans="1:17" ht="15.45" x14ac:dyDescent="0.3">
      <c r="B50" s="204" t="s">
        <v>200</v>
      </c>
      <c r="C50" s="320"/>
      <c r="D50" s="216"/>
      <c r="E50" s="217">
        <f>SUM(E12:E49)</f>
        <v>28083214.662663542</v>
      </c>
      <c r="F50" s="218">
        <f>SUM(F12:F49)</f>
        <v>0</v>
      </c>
      <c r="G50" s="218">
        <f t="shared" ref="G50" si="30">SUM(G12:G49)</f>
        <v>15575812.618510839</v>
      </c>
      <c r="H50" s="219">
        <f>SUM(H12:H49)</f>
        <v>12507402.044152703</v>
      </c>
      <c r="I50" s="217">
        <f t="shared" ref="I50:P50" si="31">SUM(I12:I49)</f>
        <v>51328433.754514426</v>
      </c>
      <c r="J50" s="218">
        <f t="shared" si="31"/>
        <v>0</v>
      </c>
      <c r="K50" s="218">
        <f t="shared" si="31"/>
        <v>26024594.285319373</v>
      </c>
      <c r="L50" s="219">
        <f t="shared" si="31"/>
        <v>25303839.46919506</v>
      </c>
      <c r="M50" s="220">
        <f t="shared" si="31"/>
        <v>29616104.300009977</v>
      </c>
      <c r="N50" s="220">
        <f t="shared" si="31"/>
        <v>30717155.935270403</v>
      </c>
      <c r="O50" s="220">
        <f t="shared" si="31"/>
        <v>31326137.187461365</v>
      </c>
      <c r="P50" s="220">
        <f t="shared" si="31"/>
        <v>31950093.908763293</v>
      </c>
      <c r="Q50" s="221"/>
    </row>
    <row r="51" spans="1:17" ht="15" x14ac:dyDescent="0.3">
      <c r="B51" s="177"/>
      <c r="C51" s="321"/>
      <c r="D51" s="222"/>
      <c r="E51" s="222"/>
      <c r="F51" s="222"/>
      <c r="G51" s="405"/>
    </row>
    <row r="52" spans="1:17" ht="15.45" x14ac:dyDescent="0.3">
      <c r="B52" s="222"/>
      <c r="C52" s="321"/>
      <c r="D52" s="222"/>
      <c r="E52" s="222"/>
      <c r="F52" s="222"/>
      <c r="G52" s="222"/>
      <c r="H52" s="222"/>
      <c r="I52" s="223"/>
      <c r="J52" s="224"/>
      <c r="L52" s="184"/>
      <c r="M52" s="224"/>
      <c r="N52" s="224"/>
      <c r="O52" s="224"/>
    </row>
    <row r="53" spans="1:17" ht="66" customHeight="1" x14ac:dyDescent="0.3">
      <c r="B53" s="222"/>
      <c r="I53" s="481" t="s">
        <v>201</v>
      </c>
      <c r="J53" s="482"/>
      <c r="K53" s="309"/>
    </row>
    <row r="54" spans="1:17" ht="15.45" x14ac:dyDescent="0.3">
      <c r="I54" s="175" t="s">
        <v>168</v>
      </c>
      <c r="J54" s="176" t="s">
        <v>169</v>
      </c>
      <c r="K54" s="184"/>
    </row>
    <row r="55" spans="1:17" ht="15" x14ac:dyDescent="0.3">
      <c r="I55" s="225">
        <f>G50-('2-Revenue'!E24-'2-Revenue'!C24)</f>
        <v>17689.368842657655</v>
      </c>
      <c r="J55" s="226">
        <f>K50-('2-Revenue'!G24-'2-Revenue'!C24)</f>
        <v>23208.035651192069</v>
      </c>
      <c r="K55" s="310"/>
      <c r="L55" s="410"/>
    </row>
    <row r="56" spans="1:17" ht="69.75" customHeight="1" x14ac:dyDescent="0.3">
      <c r="G56" s="308"/>
      <c r="H56" s="307" t="s">
        <v>202</v>
      </c>
      <c r="I56" s="227"/>
      <c r="J56" s="228"/>
    </row>
    <row r="57" spans="1:17" x14ac:dyDescent="0.3">
      <c r="L57" s="410"/>
    </row>
    <row r="59" spans="1:17" x14ac:dyDescent="0.3">
      <c r="L59" s="410"/>
    </row>
  </sheetData>
  <sheetProtection insertRows="0" selectLockedCells="1" selectUnlockedCells="1"/>
  <mergeCells count="9">
    <mergeCell ref="I53:J53"/>
    <mergeCell ref="B9:C9"/>
    <mergeCell ref="A2:J2"/>
    <mergeCell ref="A3:Q3"/>
    <mergeCell ref="B4:D4"/>
    <mergeCell ref="E9:H9"/>
    <mergeCell ref="I9:L9"/>
    <mergeCell ref="Q9:Q10"/>
    <mergeCell ref="E8:P8"/>
  </mergeCells>
  <phoneticPr fontId="10" type="noConversion"/>
  <pageMargins left="0.7" right="0.45" top="0.25" bottom="0.5" header="0" footer="0.15"/>
  <pageSetup scale="40" fitToHeight="0" orientation="landscape" horizontalDpi="1200" verticalDpi="1200" r:id="rId1"/>
  <headerFooter>
    <oddFooter>&amp;L2017 Six-Year Plan - Academic-Financial Plan&amp;C&amp;P of &amp;N&amp;RSCHEV - 5/23/17</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F716ED-6A89-4F98-9397-348A1198471C}">
  <dimension ref="A1:B22"/>
  <sheetViews>
    <sheetView workbookViewId="0"/>
  </sheetViews>
  <sheetFormatPr defaultColWidth="8.69140625" defaultRowHeight="15.9" x14ac:dyDescent="0.45"/>
  <cols>
    <col min="1" max="1" width="34.61328125" style="362" customWidth="1"/>
    <col min="2" max="16384" width="8.69140625" style="362"/>
  </cols>
  <sheetData>
    <row r="1" spans="1:2" x14ac:dyDescent="0.45">
      <c r="A1" s="369" t="s">
        <v>203</v>
      </c>
    </row>
    <row r="2" spans="1:2" x14ac:dyDescent="0.45">
      <c r="A2" s="361"/>
      <c r="B2" s="367" t="s">
        <v>204</v>
      </c>
    </row>
    <row r="3" spans="1:2" x14ac:dyDescent="0.45">
      <c r="A3" s="363" t="s">
        <v>205</v>
      </c>
      <c r="B3" s="368" t="s">
        <v>206</v>
      </c>
    </row>
    <row r="4" spans="1:2" x14ac:dyDescent="0.45">
      <c r="A4" s="364" t="s">
        <v>207</v>
      </c>
      <c r="B4" s="365">
        <v>0.60499999999999998</v>
      </c>
    </row>
    <row r="5" spans="1:2" x14ac:dyDescent="0.45">
      <c r="A5" s="364" t="s">
        <v>208</v>
      </c>
      <c r="B5" s="365">
        <v>0.497</v>
      </c>
    </row>
    <row r="6" spans="1:2" x14ac:dyDescent="0.45">
      <c r="A6" s="364" t="s">
        <v>209</v>
      </c>
      <c r="B6" s="365">
        <v>0.51400000000000001</v>
      </c>
    </row>
    <row r="7" spans="1:2" x14ac:dyDescent="0.45">
      <c r="A7" s="364" t="s">
        <v>210</v>
      </c>
      <c r="B7" s="365">
        <v>0.60299999999999998</v>
      </c>
    </row>
    <row r="8" spans="1:2" x14ac:dyDescent="0.45">
      <c r="A8" s="364" t="s">
        <v>211</v>
      </c>
      <c r="B8" s="365">
        <v>0.48199999999999998</v>
      </c>
    </row>
    <row r="9" spans="1:2" x14ac:dyDescent="0.45">
      <c r="A9" s="364" t="s">
        <v>212</v>
      </c>
      <c r="B9" s="365">
        <v>0.56299999999999994</v>
      </c>
    </row>
    <row r="10" spans="1:2" x14ac:dyDescent="0.45">
      <c r="A10" s="364" t="s">
        <v>213</v>
      </c>
      <c r="B10" s="365">
        <v>0.59</v>
      </c>
    </row>
    <row r="11" spans="1:2" x14ac:dyDescent="0.45">
      <c r="A11" s="364" t="s">
        <v>214</v>
      </c>
      <c r="B11" s="365">
        <v>0.59399999999999997</v>
      </c>
    </row>
    <row r="12" spans="1:2" x14ac:dyDescent="0.45">
      <c r="A12" s="364" t="s">
        <v>215</v>
      </c>
      <c r="B12" s="365">
        <v>0.313</v>
      </c>
    </row>
    <row r="13" spans="1:2" x14ac:dyDescent="0.45">
      <c r="A13" s="364" t="s">
        <v>216</v>
      </c>
      <c r="B13" s="365">
        <v>0.56899999999999995</v>
      </c>
    </row>
    <row r="14" spans="1:2" x14ac:dyDescent="0.45">
      <c r="A14" s="364" t="s">
        <v>217</v>
      </c>
      <c r="B14" s="365">
        <v>0.504</v>
      </c>
    </row>
    <row r="15" spans="1:2" x14ac:dyDescent="0.45">
      <c r="A15" s="364" t="s">
        <v>218</v>
      </c>
      <c r="B15" s="365">
        <v>0.42099999999999999</v>
      </c>
    </row>
    <row r="16" spans="1:2" x14ac:dyDescent="0.45">
      <c r="A16" s="364" t="s">
        <v>219</v>
      </c>
      <c r="B16" s="365">
        <v>0.47099999999999997</v>
      </c>
    </row>
    <row r="17" spans="1:2" x14ac:dyDescent="0.45">
      <c r="A17" s="364" t="s">
        <v>220</v>
      </c>
      <c r="B17" s="365">
        <v>0.38200000000000001</v>
      </c>
    </row>
    <row r="18" spans="1:2" x14ac:dyDescent="0.45">
      <c r="A18" s="364" t="s">
        <v>221</v>
      </c>
      <c r="B18" s="365">
        <v>0.38200000000000001</v>
      </c>
    </row>
    <row r="19" spans="1:2" x14ac:dyDescent="0.45">
      <c r="A19" s="364" t="s">
        <v>222</v>
      </c>
      <c r="B19" s="365">
        <v>0.62</v>
      </c>
    </row>
    <row r="20" spans="1:2" x14ac:dyDescent="0.45">
      <c r="A20" s="364" t="s">
        <v>223</v>
      </c>
      <c r="B20" s="365">
        <v>0.628</v>
      </c>
    </row>
    <row r="21" spans="1:2" x14ac:dyDescent="0.45">
      <c r="A21" s="364" t="s">
        <v>224</v>
      </c>
      <c r="B21" s="365">
        <v>0.48199999999999998</v>
      </c>
    </row>
    <row r="22" spans="1:2" x14ac:dyDescent="0.45">
      <c r="A22" s="366" t="s">
        <v>225</v>
      </c>
    </row>
  </sheetData>
  <pageMargins left="0.7" right="0.7" top="0.75" bottom="0.75" header="0.3" footer="0.3"/>
  <pageSetup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CE4898-45B5-455A-A178-0781664361E7}">
  <sheetPr>
    <tabColor theme="9" tint="0.79998168889431442"/>
  </sheetPr>
  <dimension ref="A1:T40"/>
  <sheetViews>
    <sheetView topLeftCell="A4" zoomScaleNormal="100" workbookViewId="0">
      <selection activeCell="D30" sqref="D30"/>
    </sheetView>
  </sheetViews>
  <sheetFormatPr defaultRowHeight="12.45" x14ac:dyDescent="0.3"/>
  <cols>
    <col min="1" max="1" width="9.15234375" style="160"/>
    <col min="2" max="2" width="47.3828125" customWidth="1"/>
    <col min="3" max="3" width="20.23046875" bestFit="1" customWidth="1"/>
    <col min="4" max="4" width="20.3828125" bestFit="1" customWidth="1"/>
    <col min="5" max="5" width="8.61328125" bestFit="1" customWidth="1"/>
    <col min="6" max="6" width="16.3828125" customWidth="1"/>
    <col min="7" max="7" width="7" customWidth="1"/>
    <col min="8" max="8" width="16.3828125" customWidth="1"/>
    <col min="9" max="9" width="7.69140625" customWidth="1"/>
    <col min="10" max="10" width="16.23046875" customWidth="1"/>
    <col min="11" max="11" width="12.61328125" customWidth="1"/>
    <col min="12" max="12" width="16.3828125" customWidth="1"/>
    <col min="13" max="13" width="8.61328125" bestFit="1" customWidth="1"/>
    <col min="14" max="14" width="16.3828125" customWidth="1"/>
    <col min="15" max="15" width="7" customWidth="1"/>
    <col min="16" max="16" width="16.3828125" customWidth="1"/>
    <col min="17" max="17" width="7" customWidth="1"/>
    <col min="18" max="18" width="13.84375" bestFit="1" customWidth="1"/>
    <col min="19" max="19" width="15.69140625" bestFit="1" customWidth="1"/>
    <col min="20" max="20" width="9.15234375" style="160"/>
  </cols>
  <sheetData>
    <row r="1" spans="1:20" ht="22.75" x14ac:dyDescent="0.3">
      <c r="A1" s="285" t="s">
        <v>226</v>
      </c>
      <c r="B1" s="286"/>
      <c r="C1" s="286"/>
      <c r="D1" s="286"/>
      <c r="E1" s="286"/>
      <c r="F1" s="286"/>
      <c r="G1" s="286"/>
      <c r="H1" s="287"/>
      <c r="I1" s="288"/>
      <c r="J1" s="288"/>
      <c r="K1" s="288"/>
      <c r="L1" s="288"/>
      <c r="M1" s="288"/>
      <c r="N1" s="288"/>
      <c r="O1" s="288"/>
      <c r="P1" s="288"/>
      <c r="Q1" s="288"/>
      <c r="R1" s="288"/>
      <c r="S1" s="288"/>
      <c r="T1" s="289"/>
    </row>
    <row r="2" spans="1:20" ht="22.75" x14ac:dyDescent="0.3">
      <c r="A2" s="499" t="str">
        <f>'Institution ID'!C3</f>
        <v>Virginia Community College System</v>
      </c>
      <c r="B2" s="485"/>
      <c r="C2" s="485"/>
      <c r="D2" s="485"/>
      <c r="E2" s="485"/>
      <c r="F2" s="485"/>
      <c r="G2" s="485"/>
      <c r="H2" s="235"/>
      <c r="I2" s="160"/>
      <c r="J2" s="160"/>
      <c r="K2" s="160"/>
      <c r="L2" s="160"/>
      <c r="M2" s="160"/>
      <c r="N2" s="160"/>
      <c r="O2" s="160"/>
      <c r="P2" s="160"/>
      <c r="Q2" s="160"/>
      <c r="R2" s="160"/>
      <c r="S2" s="160"/>
      <c r="T2" s="290"/>
    </row>
    <row r="3" spans="1:20" ht="12.75" customHeight="1" x14ac:dyDescent="0.3">
      <c r="A3" s="501" t="s">
        <v>227</v>
      </c>
      <c r="B3" s="502"/>
      <c r="C3" s="502"/>
      <c r="D3" s="502"/>
      <c r="E3" s="502"/>
      <c r="F3" s="502"/>
      <c r="G3" s="502"/>
      <c r="H3" s="502"/>
      <c r="I3" s="502"/>
      <c r="J3" s="502"/>
      <c r="K3" s="502"/>
      <c r="L3" s="502"/>
      <c r="M3" s="502"/>
      <c r="N3" s="502"/>
      <c r="O3" s="502"/>
      <c r="P3" s="502"/>
      <c r="Q3" s="502"/>
      <c r="R3" s="502"/>
      <c r="S3" s="502"/>
      <c r="T3" s="290"/>
    </row>
    <row r="4" spans="1:20" ht="102.75" customHeight="1" x14ac:dyDescent="0.3">
      <c r="A4" s="501"/>
      <c r="B4" s="502"/>
      <c r="C4" s="502"/>
      <c r="D4" s="502"/>
      <c r="E4" s="502"/>
      <c r="F4" s="502"/>
      <c r="G4" s="502"/>
      <c r="H4" s="502"/>
      <c r="I4" s="502"/>
      <c r="J4" s="502"/>
      <c r="K4" s="502"/>
      <c r="L4" s="502"/>
      <c r="M4" s="502"/>
      <c r="N4" s="502"/>
      <c r="O4" s="502"/>
      <c r="P4" s="502"/>
      <c r="Q4" s="502"/>
      <c r="R4" s="502"/>
      <c r="S4" s="502"/>
      <c r="T4" s="290"/>
    </row>
    <row r="5" spans="1:20" x14ac:dyDescent="0.3">
      <c r="A5" s="291"/>
      <c r="B5" s="160"/>
      <c r="C5" s="160"/>
      <c r="D5" s="160"/>
      <c r="E5" s="160"/>
      <c r="F5" s="160"/>
      <c r="G5" s="160"/>
      <c r="H5" s="160"/>
      <c r="I5" s="160"/>
      <c r="J5" s="160"/>
      <c r="K5" s="160"/>
      <c r="L5" s="160"/>
      <c r="M5" s="160"/>
      <c r="N5" s="160"/>
      <c r="O5" s="160"/>
      <c r="P5" s="160"/>
      <c r="Q5" s="160"/>
      <c r="R5" s="160"/>
      <c r="S5" s="160"/>
      <c r="T5" s="290"/>
    </row>
    <row r="6" spans="1:20" s="160" customFormat="1" ht="12.9" thickBot="1" x14ac:dyDescent="0.35">
      <c r="A6" s="291"/>
      <c r="R6" s="500" t="s">
        <v>228</v>
      </c>
      <c r="S6" s="500"/>
      <c r="T6" s="290"/>
    </row>
    <row r="7" spans="1:20" s="1" customFormat="1" ht="12.75" customHeight="1" x14ac:dyDescent="0.3">
      <c r="A7" s="167"/>
      <c r="B7" s="168" t="s">
        <v>229</v>
      </c>
      <c r="C7" s="245" t="s">
        <v>90</v>
      </c>
      <c r="D7" s="245" t="s">
        <v>91</v>
      </c>
      <c r="E7" s="246" t="s">
        <v>99</v>
      </c>
      <c r="F7" s="247" t="s">
        <v>168</v>
      </c>
      <c r="G7" s="246" t="s">
        <v>99</v>
      </c>
      <c r="H7" s="247" t="s">
        <v>169</v>
      </c>
      <c r="I7" s="246" t="s">
        <v>99</v>
      </c>
      <c r="J7" s="248" t="s">
        <v>170</v>
      </c>
      <c r="K7" s="246" t="s">
        <v>99</v>
      </c>
      <c r="L7" s="248" t="s">
        <v>171</v>
      </c>
      <c r="M7" s="246" t="s">
        <v>99</v>
      </c>
      <c r="N7" s="248" t="s">
        <v>172</v>
      </c>
      <c r="O7" s="246" t="s">
        <v>99</v>
      </c>
      <c r="P7" s="248" t="s">
        <v>173</v>
      </c>
      <c r="Q7" s="246" t="s">
        <v>99</v>
      </c>
      <c r="R7" s="336" t="s">
        <v>230</v>
      </c>
      <c r="S7" s="326" t="s">
        <v>231</v>
      </c>
      <c r="T7" s="292"/>
    </row>
    <row r="8" spans="1:20" x14ac:dyDescent="0.3">
      <c r="A8" s="291"/>
      <c r="B8" s="174" t="s">
        <v>232</v>
      </c>
      <c r="C8" s="281">
        <f>'2-Revenue'!B25</f>
        <v>504446216</v>
      </c>
      <c r="D8" s="281">
        <f>'2-Revenue'!C25</f>
        <v>507503100</v>
      </c>
      <c r="E8" s="282">
        <f>IF(C8=0,"%",D8/C8-1)</f>
        <v>6.0598809209819748E-3</v>
      </c>
      <c r="F8" s="281">
        <f>D8+'4-Academic-Financial'!H50</f>
        <v>520010502.04415268</v>
      </c>
      <c r="G8" s="282">
        <f>IF(D8=0,"%",F8/D8-1)</f>
        <v>2.4644976639852434E-2</v>
      </c>
      <c r="H8" s="281">
        <f>D8+'4-Academic-Financial'!L50</f>
        <v>532806939.46919507</v>
      </c>
      <c r="I8" s="282">
        <f>IF(F8=0,"%",H8/F8-1)</f>
        <v>2.4608036519915943E-2</v>
      </c>
      <c r="J8" s="281">
        <f>IFERROR(D8+'4-Academic-Financial'!L6*SUM('4-Academic-Financial'!M12:M18,'4-Academic-Financial'!M22),0)</f>
        <v>520595899.54192096</v>
      </c>
      <c r="K8" s="282">
        <f>IF(H8=0,"%",J8/H8-1)</f>
        <v>-2.2918319981791613E-2</v>
      </c>
      <c r="L8" s="281">
        <f>IFERROR(D8+'4-Academic-Financial'!L6*SUM('4-Academic-Financial'!N12:N18, '4-Academic-Financial'!N22),0)</f>
        <v>520899801.34355611</v>
      </c>
      <c r="M8" s="282">
        <f>IF(J8=0,"%",L8/J8-1)</f>
        <v>5.8375757838757814E-4</v>
      </c>
      <c r="N8" s="281">
        <f>IFERROR(D8+'4-Academic-Financial'!L6*SUM('4-Academic-Financial'!O12:O18, '4-Academic-Financial'!O22),0)</f>
        <v>521211463.16880625</v>
      </c>
      <c r="O8" s="282">
        <f>IF(L8=0,"%",N8/L8-1)</f>
        <v>5.9831434845292186E-4</v>
      </c>
      <c r="P8" s="281">
        <f>IFERROR(D8+'4-Academic-Financial'!L6*SUM('4-Academic-Financial'!P12:P18,'4-Academic-Financial'!P22),0)</f>
        <v>521531114.02060312</v>
      </c>
      <c r="Q8" s="282">
        <f>IF(N8=0,"%",P8/N8-1)</f>
        <v>6.1328438529240081E-4</v>
      </c>
      <c r="R8" s="337">
        <f>IF(C8=0,"%",P8/C8-1)</f>
        <v>3.3868621626459205E-2</v>
      </c>
      <c r="S8" s="327">
        <f>IFERROR(R8/7,"%")</f>
        <v>4.8383745180656012E-3</v>
      </c>
      <c r="T8" s="290"/>
    </row>
    <row r="9" spans="1:20" x14ac:dyDescent="0.3">
      <c r="A9" s="291"/>
      <c r="B9" s="164" t="s">
        <v>233</v>
      </c>
      <c r="C9" s="231">
        <f>'3-Financial Aid'!I18</f>
        <v>1.3386240403935162E-2</v>
      </c>
      <c r="D9" s="231">
        <f>'3-Financial Aid'!I31</f>
        <v>1.3148091665532961E-2</v>
      </c>
      <c r="E9" s="263" t="str">
        <f>IF(OR(C9=0,C9="%"),"%",_xlfn.CONCAT(ROUND(D9-C9,5)*100,"pt"))</f>
        <v>-0.024pt</v>
      </c>
      <c r="F9" s="231">
        <f>'3-Financial Aid'!I44</f>
        <v>1.2669584024668883E-2</v>
      </c>
      <c r="G9" s="263" t="str">
        <f>IF(OR(D9=0,D9="%"),"%",_xlfn.CONCAT(ROUND(F9-D9,5)*100,"pt"))</f>
        <v>-0.048pt</v>
      </c>
      <c r="H9" s="231">
        <f>'3-Financial Aid'!I57</f>
        <v>1.2367459718530153E-2</v>
      </c>
      <c r="I9" s="263" t="str">
        <f>IF(OR(F9=0,F9="%"),"%",_xlfn.CONCAT(ROUND(H9-F9,5)*100,"pt"))</f>
        <v>-0.03pt</v>
      </c>
      <c r="J9" s="231">
        <f>'3-Financial Aid'!I70</f>
        <v>1.2456429219727677E-2</v>
      </c>
      <c r="K9" s="263" t="str">
        <f>IF(OR(H9=0,H9="%"),"%",_xlfn.CONCAT(ROUND(J9-H9,5)*100,"pt"))</f>
        <v>0.009pt</v>
      </c>
      <c r="L9" s="231">
        <f>'3-Financial Aid'!I83</f>
        <v>1.2575062019986505E-2</v>
      </c>
      <c r="M9" s="263" t="str">
        <f>IF(OR(J9=0,J9="%"),"%",_xlfn.CONCAT(ROUND(L9-J9,5)*100,"pt"))</f>
        <v>0.012pt</v>
      </c>
      <c r="N9" s="231">
        <f>'3-Financial Aid'!I96</f>
        <v>1.2672280984302271E-2</v>
      </c>
      <c r="O9" s="263" t="str">
        <f>IF(OR(L9=0,L9="%"),"%",_xlfn.CONCAT(ROUND(N9-L9,5)*100,"pt"))</f>
        <v>0.01pt</v>
      </c>
      <c r="P9" s="231">
        <f>'3-Financial Aid'!I109</f>
        <v>1.2751722240987629E-2</v>
      </c>
      <c r="Q9" s="263" t="str">
        <f>IF(OR(N9=0,N9="%"),"%",_xlfn.CONCAT(ROUND(P9-N9,5)*100,"pt"))</f>
        <v>0.008pt</v>
      </c>
      <c r="R9" s="338" t="str">
        <f>IF(OR(C9=0,C9="%"),"%",_xlfn.CONCAT(ROUND(P9-C9,5)*100,"pt"))</f>
        <v>-0.063pt</v>
      </c>
      <c r="S9" s="329" t="str">
        <f>IFERROR(R9/7,"%")</f>
        <v>%</v>
      </c>
      <c r="T9" s="290"/>
    </row>
    <row r="10" spans="1:20" x14ac:dyDescent="0.3">
      <c r="A10" s="291"/>
      <c r="B10" s="165" t="s">
        <v>234</v>
      </c>
      <c r="C10" s="275">
        <f>'2-Revenue'!B24</f>
        <v>439228391</v>
      </c>
      <c r="D10" s="275">
        <f>'2-Revenue'!C24</f>
        <v>446556979.75033182</v>
      </c>
      <c r="E10" s="276">
        <f t="shared" ref="E10:E18" si="0">IF(C10=0,"%",D10/C10-1)</f>
        <v>1.6685143539211245E-2</v>
      </c>
      <c r="F10" s="275">
        <f>'2-Revenue'!E24</f>
        <v>462115103</v>
      </c>
      <c r="G10" s="276">
        <f t="shared" ref="G10:Q18" si="1">IF(D10=0,"%",F10/D10-1)</f>
        <v>3.4840174838083771E-2</v>
      </c>
      <c r="H10" s="275">
        <f>'2-Revenue'!G24</f>
        <v>472558366</v>
      </c>
      <c r="I10" s="276">
        <f t="shared" ref="I10:Q18" si="2">IF(F10=0,"%",H10/F10-1)</f>
        <v>2.2598835078541102E-2</v>
      </c>
      <c r="J10" s="275">
        <f>'2-Revenue'!I24</f>
        <v>469430411</v>
      </c>
      <c r="K10" s="276">
        <f t="shared" si="2"/>
        <v>-6.619192940073737E-3</v>
      </c>
      <c r="L10" s="275">
        <f>'2-Revenue'!K24</f>
        <v>465328422</v>
      </c>
      <c r="M10" s="276">
        <f t="shared" si="2"/>
        <v>-8.7382259518760108E-3</v>
      </c>
      <c r="N10" s="275">
        <f>'2-Revenue'!M24</f>
        <v>462024122</v>
      </c>
      <c r="O10" s="276">
        <f t="shared" si="2"/>
        <v>-7.1010061792442514E-3</v>
      </c>
      <c r="P10" s="275">
        <f>'2-Revenue'!O24</f>
        <v>459361461</v>
      </c>
      <c r="Q10" s="276">
        <f t="shared" si="2"/>
        <v>-5.7630345975745456E-3</v>
      </c>
      <c r="R10" s="339">
        <f>IF(C10=0,"%",P10/C10-1)</f>
        <v>4.583736027209584E-2</v>
      </c>
      <c r="S10" s="328">
        <f>IFERROR(R10/7,"%")</f>
        <v>6.5481943245851203E-3</v>
      </c>
      <c r="T10" s="290"/>
    </row>
    <row r="11" spans="1:20" x14ac:dyDescent="0.3">
      <c r="A11" s="291"/>
      <c r="B11" s="164" t="s">
        <v>235</v>
      </c>
      <c r="C11" s="271"/>
      <c r="D11" s="236">
        <f>D10-C10</f>
        <v>7328588.7503318191</v>
      </c>
      <c r="E11" s="262"/>
      <c r="F11" s="236">
        <f>F10-D10</f>
        <v>15558123.249668181</v>
      </c>
      <c r="G11" s="262">
        <f t="shared" si="1"/>
        <v>1.1229357765454844</v>
      </c>
      <c r="H11" s="236">
        <f>H10-F10</f>
        <v>10443263</v>
      </c>
      <c r="I11" s="262">
        <f t="shared" si="2"/>
        <v>-0.32875817780767802</v>
      </c>
      <c r="J11" s="236">
        <f>J10-H10</f>
        <v>-3127955</v>
      </c>
      <c r="K11" s="262">
        <f t="shared" si="2"/>
        <v>-1.299518933881106</v>
      </c>
      <c r="L11" s="236">
        <f>L10-J10</f>
        <v>-4101989</v>
      </c>
      <c r="M11" s="262">
        <f t="shared" si="2"/>
        <v>0.31139642354189867</v>
      </c>
      <c r="N11" s="236">
        <f>N10-L10</f>
        <v>-3304300</v>
      </c>
      <c r="O11" s="262">
        <f t="shared" si="2"/>
        <v>-0.19446395395014471</v>
      </c>
      <c r="P11" s="236">
        <f>P10-N10</f>
        <v>-2662661</v>
      </c>
      <c r="Q11" s="262">
        <f t="shared" si="2"/>
        <v>-0.19418303422812699</v>
      </c>
      <c r="R11" s="340">
        <f>IF(D11=0,"%",P11/D11-1)</f>
        <v>-1.3633252036252466</v>
      </c>
      <c r="S11" s="266"/>
      <c r="T11" s="290"/>
    </row>
    <row r="12" spans="1:20" x14ac:dyDescent="0.3">
      <c r="A12" s="291"/>
      <c r="B12" s="164" t="s">
        <v>236</v>
      </c>
      <c r="C12" s="271">
        <f>C10+C8</f>
        <v>943674607</v>
      </c>
      <c r="D12" s="271">
        <f>D10+D8</f>
        <v>954060079.75033188</v>
      </c>
      <c r="E12" s="264">
        <f t="shared" ref="E12" si="3">IF(C12=0,"%",D12/C12-1)</f>
        <v>1.100535361796795E-2</v>
      </c>
      <c r="F12" s="271">
        <f>F10+F8</f>
        <v>982125605.04415274</v>
      </c>
      <c r="G12" s="264">
        <f t="shared" si="1"/>
        <v>2.9416937035207757E-2</v>
      </c>
      <c r="H12" s="271">
        <f>H10+H8</f>
        <v>1005365305.4691951</v>
      </c>
      <c r="I12" s="264">
        <f t="shared" si="1"/>
        <v>2.3662656085621236E-2</v>
      </c>
      <c r="J12" s="271">
        <f>J10+J8</f>
        <v>990026310.5419209</v>
      </c>
      <c r="K12" s="264">
        <f t="shared" si="1"/>
        <v>-1.5257135733479088E-2</v>
      </c>
      <c r="L12" s="271">
        <f>L10+L8</f>
        <v>986228223.34355617</v>
      </c>
      <c r="M12" s="264">
        <f t="shared" si="1"/>
        <v>-3.8363497595187424E-3</v>
      </c>
      <c r="N12" s="271">
        <f>N10+N8</f>
        <v>983235585.16880631</v>
      </c>
      <c r="O12" s="264">
        <f t="shared" si="1"/>
        <v>-3.0344276344110854E-3</v>
      </c>
      <c r="P12" s="271">
        <f>P10+P8</f>
        <v>980892575.02060318</v>
      </c>
      <c r="Q12" s="264">
        <f t="shared" si="1"/>
        <v>-2.3829590624517838E-3</v>
      </c>
      <c r="R12" s="340">
        <f>IF(D12=0,"%",P12/D12-1)</f>
        <v>2.8124534125034462E-2</v>
      </c>
      <c r="S12" s="266">
        <f>IFERROR(R12/7,"%")</f>
        <v>4.0177905892906374E-3</v>
      </c>
      <c r="T12" s="290"/>
    </row>
    <row r="13" spans="1:20" x14ac:dyDescent="0.3">
      <c r="A13" s="291"/>
      <c r="B13" s="166" t="s">
        <v>237</v>
      </c>
      <c r="C13" s="283">
        <f>IF(C8+C10=0,"%",C8/(C8+C10))</f>
        <v>0.5345552505684833</v>
      </c>
      <c r="D13" s="283">
        <f>IF(D8+D10=0,"%",D8/(D8+D10))</f>
        <v>0.53194039953208039</v>
      </c>
      <c r="E13" s="284" t="str">
        <f>IF(OR(C13=0,C13="%"),"%",_xlfn.CONCAT(ROUND(D13-C13,3)*100,"pt"))</f>
        <v>-0.3pt</v>
      </c>
      <c r="F13" s="283">
        <f>IF(F8+F10=0,"%",F8/(F8+F10))</f>
        <v>0.52947453907463793</v>
      </c>
      <c r="G13" s="284" t="str">
        <f>IF(OR(D13=0,D13="%"),"%",_xlfn.CONCAT(ROUND(F13-D13,3)*100,"pt"))</f>
        <v>-0.2pt</v>
      </c>
      <c r="H13" s="283">
        <f>IF(H8+H10=0,"%",H8/(H8+H10))</f>
        <v>0.52996352327927088</v>
      </c>
      <c r="I13" s="284" t="str">
        <f>IF(OR(F13=0,F13="%"),"%",_xlfn.CONCAT(ROUND(H13-F13,3)*100,"pt"))</f>
        <v>0pt</v>
      </c>
      <c r="J13" s="283">
        <f>IF(J8+J10=0,"%",J8/(J8+J10))</f>
        <v>0.5258404690850661</v>
      </c>
      <c r="K13" s="284" t="str">
        <f>IF(OR(H13=0,H13="%"),"%",_xlfn.CONCAT(ROUND(J13-H13,3)*100,"pt"))</f>
        <v>-0.4pt</v>
      </c>
      <c r="L13" s="283">
        <f>IF(L8+L10=0,"%",L8/(L8+L10))</f>
        <v>0.52817369145812687</v>
      </c>
      <c r="M13" s="284" t="str">
        <f>IF(OR(J13=0,J13="%"),"%",_xlfn.CONCAT(ROUND(L13-J13,3)*100,"pt"))</f>
        <v>0.2pt</v>
      </c>
      <c r="N13" s="283">
        <f>IF(N8+N10=0,"%",N8/(N8+N10))</f>
        <v>0.53009825013536538</v>
      </c>
      <c r="O13" s="284" t="str">
        <f>IF(OR(L13=0,L13="%"),"%",_xlfn.CONCAT(ROUND(N13-L13,3)*100,"pt"))</f>
        <v>0.2pt</v>
      </c>
      <c r="P13" s="283">
        <f>IF(P8+P10=0,"%",P8/(P8+P10))</f>
        <v>0.53169034744671062</v>
      </c>
      <c r="Q13" s="284" t="str">
        <f>IF(OR(N13=0,N13="%"),"%",_xlfn.CONCAT(ROUND(P13-N13,3)*100,"pt"))</f>
        <v>0.2pt</v>
      </c>
      <c r="R13" s="341" t="str">
        <f>IF(OR(C13=0,C13="%"),"%",_xlfn.CONCAT(ROUND(P13-C13,3)*100,"pt"))</f>
        <v>-0.3pt</v>
      </c>
      <c r="S13" s="329" t="str">
        <f>IFERROR(R13/7,"%")</f>
        <v>%</v>
      </c>
      <c r="T13" s="290"/>
    </row>
    <row r="14" spans="1:20" x14ac:dyDescent="0.3">
      <c r="A14" s="291"/>
      <c r="B14" s="165" t="s">
        <v>238</v>
      </c>
      <c r="C14" s="275">
        <f>'4-Academic-Financial'!D5</f>
        <v>956514142</v>
      </c>
      <c r="D14" s="275">
        <f>'4-Academic-Financial'!D6</f>
        <v>1003211190.84</v>
      </c>
      <c r="E14" s="276">
        <f t="shared" si="0"/>
        <v>4.8820029719957914E-2</v>
      </c>
      <c r="F14" s="275">
        <f>$D$14+F15-F16</f>
        <v>1031294405.5026636</v>
      </c>
      <c r="G14" s="276">
        <f t="shared" si="1"/>
        <v>2.799332276103228E-2</v>
      </c>
      <c r="H14" s="275">
        <f>$D$14+H15-H16</f>
        <v>1054539624.5945145</v>
      </c>
      <c r="I14" s="276">
        <f t="shared" si="2"/>
        <v>2.2539847950131087E-2</v>
      </c>
      <c r="J14" s="275">
        <f>$D$14+J15-J16</f>
        <v>1032827295.14001</v>
      </c>
      <c r="K14" s="276">
        <f t="shared" si="2"/>
        <v>-2.0589391757425135E-2</v>
      </c>
      <c r="L14" s="275">
        <f>$D$14+L15-L16</f>
        <v>1033928346.7752705</v>
      </c>
      <c r="M14" s="276">
        <f t="shared" si="2"/>
        <v>1.0660559034811889E-3</v>
      </c>
      <c r="N14" s="275">
        <f>$D$14+N15-N16</f>
        <v>1034537328.0274614</v>
      </c>
      <c r="O14" s="276">
        <f t="shared" si="2"/>
        <v>5.8899753942354138E-4</v>
      </c>
      <c r="P14" s="275">
        <f>$D$14+P15-P16</f>
        <v>1035161284.7487633</v>
      </c>
      <c r="Q14" s="276">
        <f t="shared" si="2"/>
        <v>6.0312634875292481E-4</v>
      </c>
      <c r="R14" s="339">
        <f>IF(C14=0,"%",P14/C14-1)</f>
        <v>8.2222665923493921E-2</v>
      </c>
      <c r="S14" s="328">
        <f>IFERROR(R14/7,"%")</f>
        <v>1.1746095131927703E-2</v>
      </c>
      <c r="T14" s="290"/>
    </row>
    <row r="15" spans="1:20" x14ac:dyDescent="0.3">
      <c r="A15" s="291"/>
      <c r="B15" s="164" t="s">
        <v>239</v>
      </c>
      <c r="C15" s="271"/>
      <c r="D15" s="236"/>
      <c r="E15" s="262"/>
      <c r="F15" s="236">
        <f>'4-Academic-Financial'!E50</f>
        <v>28083214.662663542</v>
      </c>
      <c r="G15" s="262"/>
      <c r="H15" s="236">
        <f>'4-Academic-Financial'!I50</f>
        <v>51328433.754514426</v>
      </c>
      <c r="I15" s="262">
        <f t="shared" si="2"/>
        <v>0.82772643271339086</v>
      </c>
      <c r="J15" s="236">
        <f>'4-Academic-Financial'!M50</f>
        <v>29616104.300009977</v>
      </c>
      <c r="K15" s="262">
        <f t="shared" si="2"/>
        <v>-0.42300783145550025</v>
      </c>
      <c r="L15" s="236">
        <f>'4-Academic-Financial'!N50</f>
        <v>30717155.935270403</v>
      </c>
      <c r="M15" s="262">
        <f t="shared" si="2"/>
        <v>3.7177463453897053E-2</v>
      </c>
      <c r="N15" s="236">
        <f>'4-Academic-Financial'!O50</f>
        <v>31326137.187461365</v>
      </c>
      <c r="O15" s="262">
        <f t="shared" si="2"/>
        <v>1.9825443913956686E-2</v>
      </c>
      <c r="P15" s="236">
        <f>'4-Academic-Financial'!P50</f>
        <v>31950093.908763293</v>
      </c>
      <c r="Q15" s="262">
        <f t="shared" si="2"/>
        <v>1.991808685405605E-2</v>
      </c>
      <c r="R15" s="340">
        <f>IF(F15=0,"%",P15/F15-1)</f>
        <v>0.13769361138134739</v>
      </c>
      <c r="S15" s="266"/>
      <c r="T15" s="290"/>
    </row>
    <row r="16" spans="1:20" x14ac:dyDescent="0.3">
      <c r="A16" s="291"/>
      <c r="B16" s="166" t="s">
        <v>240</v>
      </c>
      <c r="C16" s="277"/>
      <c r="D16" s="278"/>
      <c r="E16" s="279"/>
      <c r="F16" s="280">
        <f>'4-Academic-Financial'!F50</f>
        <v>0</v>
      </c>
      <c r="G16" s="279"/>
      <c r="H16" s="280">
        <f>'4-Academic-Financial'!J50</f>
        <v>0</v>
      </c>
      <c r="I16" s="279" t="str">
        <f t="shared" si="2"/>
        <v>%</v>
      </c>
      <c r="J16" s="280">
        <f>H16</f>
        <v>0</v>
      </c>
      <c r="K16" s="279"/>
      <c r="L16" s="280">
        <f>J16</f>
        <v>0</v>
      </c>
      <c r="M16" s="279"/>
      <c r="N16" s="280">
        <f>L16</f>
        <v>0</v>
      </c>
      <c r="O16" s="279"/>
      <c r="P16" s="280">
        <f>N16</f>
        <v>0</v>
      </c>
      <c r="Q16" s="279"/>
      <c r="R16" s="342"/>
      <c r="S16" s="329"/>
      <c r="T16" s="290"/>
    </row>
    <row r="17" spans="1:20" x14ac:dyDescent="0.3">
      <c r="A17" s="291"/>
      <c r="B17" s="249" t="s">
        <v>241</v>
      </c>
      <c r="C17" s="229">
        <f>C12-C14</f>
        <v>-12839535</v>
      </c>
      <c r="D17" s="229">
        <f>D12-D14</f>
        <v>-49151111.089668155</v>
      </c>
      <c r="E17" s="237">
        <f t="shared" si="0"/>
        <v>2.8281067881093946</v>
      </c>
      <c r="F17" s="229">
        <f>F12-F14</f>
        <v>-49168800.458510876</v>
      </c>
      <c r="G17" s="237">
        <f t="shared" si="1"/>
        <v>3.5989763914900941E-4</v>
      </c>
      <c r="H17" s="229">
        <f>H12-H14</f>
        <v>-49174319.125319362</v>
      </c>
      <c r="I17" s="238">
        <f t="shared" si="2"/>
        <v>1.1223919959446604E-4</v>
      </c>
      <c r="J17" s="229">
        <f>J12-J14</f>
        <v>-42800984.598089099</v>
      </c>
      <c r="K17" s="238">
        <f t="shared" si="2"/>
        <v>-0.12960697047961156</v>
      </c>
      <c r="L17" s="229">
        <f>L12-L14</f>
        <v>-47700123.431714296</v>
      </c>
      <c r="M17" s="238">
        <f t="shared" si="2"/>
        <v>0.11446322741472459</v>
      </c>
      <c r="N17" s="229">
        <f>N12-N14</f>
        <v>-51301742.858655095</v>
      </c>
      <c r="O17" s="238">
        <f t="shared" si="2"/>
        <v>7.5505452980572318E-2</v>
      </c>
      <c r="P17" s="229">
        <f>P12-P14</f>
        <v>-54268709.728160143</v>
      </c>
      <c r="Q17" s="238">
        <f t="shared" si="2"/>
        <v>5.7833646659520621E-2</v>
      </c>
      <c r="R17" s="343">
        <f>IF(F17=0,"%",P17/F17-1)</f>
        <v>0.1037224667287262</v>
      </c>
      <c r="S17" s="330">
        <f>IFERROR(R17/7,"%")</f>
        <v>1.4817495246960886E-2</v>
      </c>
      <c r="T17" s="290"/>
    </row>
    <row r="18" spans="1:20" ht="12.9" thickBot="1" x14ac:dyDescent="0.35">
      <c r="A18" s="291"/>
      <c r="B18" s="250" t="s">
        <v>242</v>
      </c>
      <c r="C18" s="251">
        <f>C17</f>
        <v>-12839535</v>
      </c>
      <c r="D18" s="252">
        <f>D17-C17</f>
        <v>-36311576.089668155</v>
      </c>
      <c r="E18" s="253">
        <f t="shared" si="0"/>
        <v>1.8281067881093946</v>
      </c>
      <c r="F18" s="254">
        <f>F17-D17</f>
        <v>-17689.368842720985</v>
      </c>
      <c r="G18" s="253">
        <f t="shared" si="1"/>
        <v>-0.99951284491758119</v>
      </c>
      <c r="H18" s="254">
        <f>H17-F17</f>
        <v>-5518.6668084859848</v>
      </c>
      <c r="I18" s="255">
        <f t="shared" si="2"/>
        <v>-0.68802353223829882</v>
      </c>
      <c r="J18" s="254">
        <f>J17-H17</f>
        <v>6373334.5272302628</v>
      </c>
      <c r="K18" s="255">
        <f t="shared" si="2"/>
        <v>-1155.8685123425219</v>
      </c>
      <c r="L18" s="254">
        <f>L17-J17</f>
        <v>-4899138.8336251974</v>
      </c>
      <c r="M18" s="255">
        <f t="shared" si="2"/>
        <v>-1.7686931876388223</v>
      </c>
      <c r="N18" s="254">
        <f>N17-L17</f>
        <v>-3601619.4269407988</v>
      </c>
      <c r="O18" s="255">
        <f t="shared" si="2"/>
        <v>-0.26484642520821933</v>
      </c>
      <c r="P18" s="254">
        <f>P17-N17</f>
        <v>-2966966.8695050478</v>
      </c>
      <c r="Q18" s="255">
        <f t="shared" si="2"/>
        <v>-0.17621310921648992</v>
      </c>
      <c r="R18" s="344">
        <f>IF(F18=0,"%",P18/F18-1)</f>
        <v>166.72598818447543</v>
      </c>
      <c r="S18" s="331">
        <f>IFERROR(R18/7,"%")</f>
        <v>23.817998312067918</v>
      </c>
      <c r="T18" s="290"/>
    </row>
    <row r="19" spans="1:20" x14ac:dyDescent="0.3">
      <c r="A19" s="291"/>
      <c r="B19" s="160"/>
      <c r="C19" s="160"/>
      <c r="D19" s="160"/>
      <c r="E19" s="160"/>
      <c r="F19" s="160"/>
      <c r="G19" s="160"/>
      <c r="H19" s="160"/>
      <c r="I19" s="160"/>
      <c r="J19" s="160"/>
      <c r="K19" s="160"/>
      <c r="L19" s="160"/>
      <c r="M19" s="160"/>
      <c r="N19" s="160"/>
      <c r="O19" s="160"/>
      <c r="P19" s="160"/>
      <c r="Q19" s="160"/>
      <c r="R19" s="160"/>
      <c r="S19" s="160"/>
      <c r="T19" s="290"/>
    </row>
    <row r="20" spans="1:20" ht="12.9" thickBot="1" x14ac:dyDescent="0.35">
      <c r="A20" s="291"/>
      <c r="B20" s="160"/>
      <c r="C20" s="160"/>
      <c r="D20" s="160"/>
      <c r="E20" s="160"/>
      <c r="F20" s="160"/>
      <c r="G20" s="160"/>
      <c r="H20" s="160"/>
      <c r="I20" s="160"/>
      <c r="J20" s="239"/>
      <c r="K20" s="160"/>
      <c r="L20" s="160"/>
      <c r="M20" s="160"/>
      <c r="N20" s="160"/>
      <c r="O20" s="160"/>
      <c r="P20" s="160"/>
      <c r="Q20" s="160"/>
      <c r="R20" s="160"/>
      <c r="S20" s="160"/>
      <c r="T20" s="290"/>
    </row>
    <row r="21" spans="1:20" s="160" customFormat="1" ht="12.9" thickBot="1" x14ac:dyDescent="0.35">
      <c r="A21" s="291"/>
      <c r="B21" s="295" t="s">
        <v>243</v>
      </c>
      <c r="C21" s="296"/>
      <c r="D21" s="296"/>
      <c r="E21" s="296"/>
      <c r="F21" s="296"/>
      <c r="G21" s="296"/>
      <c r="H21" s="296"/>
      <c r="I21" s="296"/>
      <c r="J21" s="296"/>
      <c r="K21" s="296"/>
      <c r="L21" s="296"/>
      <c r="M21" s="296"/>
      <c r="N21" s="296"/>
      <c r="O21" s="296"/>
      <c r="P21" s="296"/>
      <c r="Q21" s="296"/>
      <c r="R21" s="345"/>
      <c r="S21" s="332"/>
      <c r="T21" s="290"/>
    </row>
    <row r="22" spans="1:20" s="160" customFormat="1" x14ac:dyDescent="0.3">
      <c r="A22" s="291"/>
      <c r="B22" s="163"/>
      <c r="C22" s="240" t="s">
        <v>90</v>
      </c>
      <c r="D22" s="240" t="s">
        <v>91</v>
      </c>
      <c r="E22" s="241" t="s">
        <v>99</v>
      </c>
      <c r="F22" s="242" t="s">
        <v>168</v>
      </c>
      <c r="G22" s="241" t="s">
        <v>99</v>
      </c>
      <c r="H22" s="242" t="s">
        <v>169</v>
      </c>
      <c r="I22" s="241" t="s">
        <v>99</v>
      </c>
      <c r="J22" s="243" t="s">
        <v>170</v>
      </c>
      <c r="K22" s="241" t="s">
        <v>99</v>
      </c>
      <c r="L22" s="243" t="s">
        <v>171</v>
      </c>
      <c r="M22" s="241" t="s">
        <v>99</v>
      </c>
      <c r="N22" s="243" t="s">
        <v>172</v>
      </c>
      <c r="O22" s="241" t="s">
        <v>99</v>
      </c>
      <c r="P22" s="243" t="s">
        <v>173</v>
      </c>
      <c r="Q22" s="241" t="s">
        <v>99</v>
      </c>
      <c r="R22" s="346" t="s">
        <v>230</v>
      </c>
      <c r="S22" s="333" t="s">
        <v>231</v>
      </c>
      <c r="T22" s="290"/>
    </row>
    <row r="23" spans="1:20" s="160" customFormat="1" x14ac:dyDescent="0.3">
      <c r="A23" s="291"/>
      <c r="B23" s="268" t="s">
        <v>244</v>
      </c>
      <c r="C23" s="269">
        <f>C13</f>
        <v>0.5345552505684833</v>
      </c>
      <c r="D23" s="269">
        <f>C23</f>
        <v>0.5345552505684833</v>
      </c>
      <c r="E23" s="265" t="str">
        <f>IF(OR(C23=0,C23="%"),"%",_xlfn.CONCAT(ROUND(D23-C23,3)*100,"pt"))</f>
        <v>0pt</v>
      </c>
      <c r="F23" s="269">
        <f>D23</f>
        <v>0.5345552505684833</v>
      </c>
      <c r="G23" s="265" t="str">
        <f>IF(OR(D23=0,D23="%"),"%",_xlfn.CONCAT(ROUND(F23-D23,3)*100,"pt"))</f>
        <v>0pt</v>
      </c>
      <c r="H23" s="269">
        <f>F23</f>
        <v>0.5345552505684833</v>
      </c>
      <c r="I23" s="265" t="str">
        <f>IF(OR(F23=0,F23="%"),"%",_xlfn.CONCAT(ROUND(H23-F23,3)*100,"pt"))</f>
        <v>0pt</v>
      </c>
      <c r="J23" s="270">
        <f>H23</f>
        <v>0.5345552505684833</v>
      </c>
      <c r="K23" s="265" t="str">
        <f>IF(OR(H23=0,H23="%"),"%",_xlfn.CONCAT(ROUND(J23-H23,3)*100,"pt"))</f>
        <v>0pt</v>
      </c>
      <c r="L23" s="270">
        <f>J23</f>
        <v>0.5345552505684833</v>
      </c>
      <c r="M23" s="265" t="str">
        <f>IF(OR(J23=0,J23="%"),"%",_xlfn.CONCAT(ROUND(L23-J23,3)*100,"pt"))</f>
        <v>0pt</v>
      </c>
      <c r="N23" s="270">
        <f>L23</f>
        <v>0.5345552505684833</v>
      </c>
      <c r="O23" s="265" t="str">
        <f>IF(OR(L23=0,L23="%"),"%",_xlfn.CONCAT(ROUND(N23-L23,3)*100,"pt"))</f>
        <v>0pt</v>
      </c>
      <c r="P23" s="270">
        <f>N23</f>
        <v>0.5345552505684833</v>
      </c>
      <c r="Q23" s="265" t="str">
        <f>IF(OR(N23=0,N23="%"),"%",_xlfn.CONCAT(ROUND(P23-N23,3)*100,"pt"))</f>
        <v>0pt</v>
      </c>
      <c r="R23" s="347" t="str">
        <f>IF(OR(C23=0,C23="%"),"%",_xlfn.CONCAT(ROUND(P23-C23,3)*100,"pt"))</f>
        <v>0pt</v>
      </c>
      <c r="S23" s="266" t="str">
        <f>IF(OR(C23=0,C23="%"),"%",_xlfn.CONCAT(ROUND((P23-C23)/7,3)*100,"pt"))</f>
        <v>0pt</v>
      </c>
      <c r="T23" s="290"/>
    </row>
    <row r="24" spans="1:20" s="160" customFormat="1" x14ac:dyDescent="0.3">
      <c r="A24" s="291"/>
      <c r="B24" s="164" t="s">
        <v>245</v>
      </c>
      <c r="C24" s="244">
        <f>IF(C10=0,"%",(-C18*(1-C$23))/(C10))</f>
        <v>1.3605892226789568E-2</v>
      </c>
      <c r="D24" s="244">
        <f>IF(D10=0,"%",(-D18*(1-D$23))/(D10))</f>
        <v>3.7847426422420602E-2</v>
      </c>
      <c r="E24" s="265" t="str">
        <f>IF(OR(C24=0,C24="%"),"%",_xlfn.CONCAT(ROUND(D24-C24,3)*100,"pt"))</f>
        <v>2.4pt</v>
      </c>
      <c r="F24" s="244">
        <f>IF(F10=0,"%",(-F18*(1-F$23))/(F10))</f>
        <v>1.7816824845479998E-5</v>
      </c>
      <c r="G24" s="265" t="str">
        <f>IF(OR(D24=0,D24="%"),"%",_xlfn.CONCAT(ROUND(F24-D24,3)*100,"pt"))</f>
        <v>-3.8pt</v>
      </c>
      <c r="H24" s="244">
        <f>IF(H10=0,"%",(-H18*(1-H$23))/(H10))</f>
        <v>5.4355920340891542E-6</v>
      </c>
      <c r="I24" s="265" t="str">
        <f>IF(OR(F24=0,F24="%"),"%",_xlfn.CONCAT(ROUND(H24-F24,3)*100,"pt"))</f>
        <v>0pt</v>
      </c>
      <c r="J24" s="244">
        <f>IF(J10=0,"%",(-J18*(1-J$23))/(J10))</f>
        <v>-6.3192222373294931E-3</v>
      </c>
      <c r="K24" s="265" t="str">
        <f>IF(OR(H24=0,H24="%"),"%",_xlfn.CONCAT(ROUND(J24-H24,3)*100,"pt"))</f>
        <v>-0.6pt</v>
      </c>
      <c r="L24" s="244">
        <f>IF(L10=0,"%",(-L18*(1-L$23))/(L10))</f>
        <v>4.9003635691242881E-3</v>
      </c>
      <c r="M24" s="265" t="str">
        <f>IF(OR(J24=0,J24="%"),"%",_xlfn.CONCAT(ROUND(L24-J24,3)*100,"pt"))</f>
        <v>1.1pt</v>
      </c>
      <c r="N24" s="244">
        <f>IF(N10=0,"%",(-N18*(1-N$23))/(N10))</f>
        <v>3.6282842646041388E-3</v>
      </c>
      <c r="O24" s="265" t="str">
        <f>IF(OR(L24=0,L24="%"),"%",_xlfn.CONCAT(ROUND(N24-L24,3)*100,"pt"))</f>
        <v>-0.1pt</v>
      </c>
      <c r="P24" s="244">
        <f>IF(P10=0,"%",(-P18*(1-P$23))/(P10))</f>
        <v>3.0062581831356299E-3</v>
      </c>
      <c r="Q24" s="265" t="str">
        <f>IF(OR(N24=0,N24="%"),"%",_xlfn.CONCAT(ROUND(P24-N24,3)*100,"pt"))</f>
        <v>-0.1pt</v>
      </c>
      <c r="R24" s="347" t="str">
        <f>IF(OR(C24=0,C24="%"),"%",_xlfn.CONCAT(ROUND(P24-C24,3)*100,"pt"))</f>
        <v>-1.1pt</v>
      </c>
      <c r="S24" s="266" t="str">
        <f t="shared" ref="S24:S25" si="4">IF(OR(C24=0,C24="%"),"%",_xlfn.CONCAT(ROUND((P24-C24)/7,3)*100,"pt"))</f>
        <v>-0.2pt</v>
      </c>
      <c r="T24" s="290"/>
    </row>
    <row r="25" spans="1:20" s="160" customFormat="1" ht="12.9" thickBot="1" x14ac:dyDescent="0.35">
      <c r="A25" s="291"/>
      <c r="B25" s="256" t="s">
        <v>246</v>
      </c>
      <c r="C25" s="230">
        <f>IF(C8=0,"%",(-C18*C$23)/C8)</f>
        <v>1.3605892226789568E-2</v>
      </c>
      <c r="D25" s="230">
        <f>IF(D8=0,"%",(-D18*D$23)/D8)</f>
        <v>3.8247143032523558E-2</v>
      </c>
      <c r="E25" s="267" t="str">
        <f>IF(OR(C25=0,C25="%"),"%",_xlfn.CONCAT(ROUND(D25-C25,3)*100,"pt"))</f>
        <v>2.5pt</v>
      </c>
      <c r="F25" s="230">
        <f>IF(F8=0,"%",(-F18*F$23)/F8)</f>
        <v>1.8184142352794558E-5</v>
      </c>
      <c r="G25" s="267" t="str">
        <f>IF(OR(D25=0,D25="%"),"%",_xlfn.CONCAT(ROUND(F25-D25,3)*100,"pt"))</f>
        <v>-3.8pt</v>
      </c>
      <c r="H25" s="230">
        <f>IF(H8=0,"%",(-H18*H$23)/H8)</f>
        <v>5.5367753309541074E-6</v>
      </c>
      <c r="I25" s="267" t="str">
        <f>IF(OR(F25=0,F25="%"),"%",_xlfn.CONCAT(ROUND(H25-F25,3)*100,"pt"))</f>
        <v>0pt</v>
      </c>
      <c r="J25" s="230">
        <f>IF(J8=0,"%",(-J18*J$23)/J8)</f>
        <v>-6.544230252597291E-3</v>
      </c>
      <c r="K25" s="267" t="str">
        <f>IF(OR(H25=0,H25="%"),"%",_xlfn.CONCAT(ROUND(J25-H25,3)*100,"pt"))</f>
        <v>-0.7pt</v>
      </c>
      <c r="L25" s="230">
        <f>IF(L8=0,"%",(-L18*L$23)/L8)</f>
        <v>5.0275703312296941E-3</v>
      </c>
      <c r="M25" s="267" t="str">
        <f>IF(OR(J25=0,J25="%"),"%",_xlfn.CONCAT(ROUND(L25-J25,3)*100,"pt"))</f>
        <v>1.2pt</v>
      </c>
      <c r="N25" s="230">
        <f>IF(N8=0,"%",(-N18*N$23)/N8)</f>
        <v>3.6938262322851385E-3</v>
      </c>
      <c r="O25" s="267" t="str">
        <f>IF(OR(L25=0,L25="%"),"%",_xlfn.CONCAT(ROUND(N25-L25,3)*100,"pt"))</f>
        <v>-0.1pt</v>
      </c>
      <c r="P25" s="230">
        <f>IF(P8=0,"%",(-P18*P$23)/P8)</f>
        <v>3.0410605920129321E-3</v>
      </c>
      <c r="Q25" s="267" t="str">
        <f>IF(OR(N25=0,N25="%"),"%",_xlfn.CONCAT(ROUND(P25-N25,3)*100,"pt"))</f>
        <v>-0.1pt</v>
      </c>
      <c r="R25" s="348" t="str">
        <f>IF(OR(C25=0,C25="%"),"%",_xlfn.CONCAT(ROUND(P25-C25,3)*100,"pt"))</f>
        <v>-1.1pt</v>
      </c>
      <c r="S25" s="334" t="str">
        <f t="shared" si="4"/>
        <v>-0.2pt</v>
      </c>
      <c r="T25" s="290"/>
    </row>
    <row r="26" spans="1:20" s="160" customFormat="1" x14ac:dyDescent="0.3">
      <c r="A26" s="291"/>
      <c r="T26" s="290"/>
    </row>
    <row r="27" spans="1:20" ht="12.9" thickBot="1" x14ac:dyDescent="0.35">
      <c r="A27" s="291"/>
      <c r="B27" s="160"/>
      <c r="C27" s="160"/>
      <c r="D27" s="160"/>
      <c r="E27" s="160"/>
      <c r="F27" s="160"/>
      <c r="G27" s="160"/>
      <c r="H27" s="160"/>
      <c r="I27" s="160"/>
      <c r="J27" s="160"/>
      <c r="K27" s="160"/>
      <c r="L27" s="160"/>
      <c r="M27" s="160"/>
      <c r="N27" s="160"/>
      <c r="O27" s="160"/>
      <c r="P27" s="160"/>
      <c r="Q27" s="160"/>
      <c r="R27" s="160"/>
      <c r="S27" s="160"/>
      <c r="T27" s="290"/>
    </row>
    <row r="28" spans="1:20" x14ac:dyDescent="0.3">
      <c r="A28" s="291"/>
      <c r="B28" s="496" t="s">
        <v>247</v>
      </c>
      <c r="C28" s="273" t="s">
        <v>248</v>
      </c>
      <c r="D28" s="274">
        <v>0</v>
      </c>
      <c r="E28" s="162" t="s">
        <v>249</v>
      </c>
      <c r="F28" s="162"/>
      <c r="G28" s="162"/>
      <c r="H28" s="162"/>
      <c r="I28" s="162"/>
      <c r="J28" s="162"/>
      <c r="K28" s="162"/>
      <c r="L28" s="162"/>
      <c r="M28" s="162"/>
      <c r="N28" s="162"/>
      <c r="O28" s="162"/>
      <c r="P28" s="162"/>
      <c r="Q28" s="162"/>
      <c r="R28" s="162"/>
      <c r="S28" s="257"/>
      <c r="T28" s="290"/>
    </row>
    <row r="29" spans="1:20" x14ac:dyDescent="0.3">
      <c r="A29" s="291"/>
      <c r="B29" s="497"/>
      <c r="C29" s="235" t="s">
        <v>250</v>
      </c>
      <c r="D29" s="403">
        <v>0.97499999999999998</v>
      </c>
      <c r="E29" s="160"/>
      <c r="F29" s="160"/>
      <c r="G29" s="160"/>
      <c r="H29" s="160"/>
      <c r="I29" s="160"/>
      <c r="J29" s="160"/>
      <c r="K29" s="160"/>
      <c r="L29" s="160"/>
      <c r="M29" s="160"/>
      <c r="N29" s="160"/>
      <c r="O29" s="160"/>
      <c r="P29" s="160"/>
      <c r="Q29" s="160"/>
      <c r="R29" s="160"/>
      <c r="S29" s="258"/>
      <c r="T29" s="290"/>
    </row>
    <row r="30" spans="1:20" x14ac:dyDescent="0.3">
      <c r="A30" s="291"/>
      <c r="B30" s="497"/>
      <c r="C30" s="235" t="s">
        <v>251</v>
      </c>
      <c r="D30" s="403">
        <v>2.5000000000000001E-2</v>
      </c>
      <c r="E30" s="160"/>
      <c r="F30" s="160"/>
      <c r="G30" s="160"/>
      <c r="H30" s="160"/>
      <c r="I30" s="160"/>
      <c r="J30" s="160"/>
      <c r="K30" s="160"/>
      <c r="L30" s="160"/>
      <c r="M30" s="160"/>
      <c r="N30" s="160"/>
      <c r="O30" s="160"/>
      <c r="P30" s="160"/>
      <c r="Q30" s="160"/>
      <c r="R30" s="160"/>
      <c r="S30" s="258"/>
      <c r="T30" s="290"/>
    </row>
    <row r="31" spans="1:20" ht="12.9" thickBot="1" x14ac:dyDescent="0.35">
      <c r="A31" s="291"/>
      <c r="B31" s="498"/>
      <c r="C31" s="272" t="s">
        <v>252</v>
      </c>
      <c r="D31" s="261">
        <f>SUM(D28:D30)</f>
        <v>1</v>
      </c>
      <c r="E31" s="235"/>
      <c r="F31" s="160"/>
      <c r="G31" s="160"/>
      <c r="H31" s="160"/>
      <c r="I31" s="160"/>
      <c r="J31" s="160"/>
      <c r="K31" s="160"/>
      <c r="L31" s="160"/>
      <c r="M31" s="160"/>
      <c r="N31" s="160"/>
      <c r="O31" s="160"/>
      <c r="P31" s="160"/>
      <c r="Q31" s="160"/>
      <c r="R31" s="160"/>
      <c r="S31" s="258"/>
      <c r="T31" s="290"/>
    </row>
    <row r="32" spans="1:20" ht="12.9" thickBot="1" x14ac:dyDescent="0.35">
      <c r="A32" s="291"/>
      <c r="B32" s="163"/>
      <c r="C32" s="160"/>
      <c r="D32" s="160"/>
      <c r="E32" s="160"/>
      <c r="F32" s="160"/>
      <c r="G32" s="160"/>
      <c r="H32" s="160"/>
      <c r="I32" s="160"/>
      <c r="J32" s="160"/>
      <c r="K32" s="160"/>
      <c r="L32" s="160"/>
      <c r="M32" s="160"/>
      <c r="N32" s="160"/>
      <c r="O32" s="160"/>
      <c r="P32" s="160"/>
      <c r="Q32" s="160"/>
      <c r="R32" s="160"/>
      <c r="S32" s="335"/>
      <c r="T32" s="290"/>
    </row>
    <row r="33" spans="1:20" x14ac:dyDescent="0.3">
      <c r="A33" s="291"/>
      <c r="B33" s="301"/>
      <c r="C33" s="297" t="s">
        <v>90</v>
      </c>
      <c r="D33" s="297" t="s">
        <v>91</v>
      </c>
      <c r="E33" s="298" t="s">
        <v>99</v>
      </c>
      <c r="F33" s="299" t="s">
        <v>168</v>
      </c>
      <c r="G33" s="298" t="s">
        <v>99</v>
      </c>
      <c r="H33" s="299" t="s">
        <v>169</v>
      </c>
      <c r="I33" s="298" t="s">
        <v>99</v>
      </c>
      <c r="J33" s="300" t="s">
        <v>170</v>
      </c>
      <c r="K33" s="298" t="s">
        <v>99</v>
      </c>
      <c r="L33" s="300" t="s">
        <v>171</v>
      </c>
      <c r="M33" s="298" t="s">
        <v>99</v>
      </c>
      <c r="N33" s="300" t="s">
        <v>172</v>
      </c>
      <c r="O33" s="298" t="s">
        <v>99</v>
      </c>
      <c r="P33" s="300" t="s">
        <v>173</v>
      </c>
      <c r="Q33" s="298" t="s">
        <v>99</v>
      </c>
      <c r="R33" s="349" t="s">
        <v>230</v>
      </c>
      <c r="S33" s="326" t="s">
        <v>231</v>
      </c>
      <c r="T33" s="290"/>
    </row>
    <row r="34" spans="1:20" x14ac:dyDescent="0.3">
      <c r="A34" s="291"/>
      <c r="B34" s="164" t="s">
        <v>253</v>
      </c>
      <c r="C34" s="231">
        <f>IF(C14=0,"%",(-C18*$D$28)/C14)</f>
        <v>0</v>
      </c>
      <c r="D34" s="231">
        <f>IF(D14=0,"%",(-D18*$D$28)/D14)</f>
        <v>0</v>
      </c>
      <c r="E34" s="265" t="str">
        <f>IF(OR(C34=0,C34="%"),"%",_xlfn.CONCAT(ROUND(D34-C34,3)*100,"pt"))</f>
        <v>%</v>
      </c>
      <c r="F34" s="231">
        <f>IF(F14=0,"%",(-F18*$D$28)/F14)</f>
        <v>0</v>
      </c>
      <c r="G34" s="265" t="str">
        <f>IF(OR(D34=0,D34="%"),"%",_xlfn.CONCAT(ROUND(F34-D34,3)*100,"pt"))</f>
        <v>%</v>
      </c>
      <c r="H34" s="231">
        <f>IF(H14=0,"%",(-H18*$D$28)/H14)</f>
        <v>0</v>
      </c>
      <c r="I34" s="265" t="str">
        <f>IF(OR(F34=0,F34="%"),"%",_xlfn.CONCAT(ROUND(H34-F34,3)*100,"pt"))</f>
        <v>%</v>
      </c>
      <c r="J34" s="231">
        <f>IF(J14=0,"%",(-J18*$D$28)/J14)</f>
        <v>0</v>
      </c>
      <c r="K34" s="265" t="str">
        <f>IF(OR(H34=0,H34="%"),"%",_xlfn.CONCAT(ROUND(J34-H34,3)*100,"pt"))</f>
        <v>%</v>
      </c>
      <c r="L34" s="231">
        <f>IF(L14=0,"%",(-L18*$D$28)/L14)</f>
        <v>0</v>
      </c>
      <c r="M34" s="265" t="str">
        <f>IF(OR(J34=0,J34="%"),"%",_xlfn.CONCAT(ROUND(L34-J34,3)*100,"pt"))</f>
        <v>%</v>
      </c>
      <c r="N34" s="231">
        <f>IF(N14=0,"%",(-N18*$D$28)/N14)</f>
        <v>0</v>
      </c>
      <c r="O34" s="265" t="str">
        <f>IF(OR(L34=0,L34="%"),"%",_xlfn.CONCAT(ROUND(N34-L34,3)*100,"pt"))</f>
        <v>%</v>
      </c>
      <c r="P34" s="231">
        <f>IF(P14=0,"%",(-P18*$D$28)/P14)</f>
        <v>0</v>
      </c>
      <c r="Q34" s="265" t="str">
        <f>IF(OR(N34=0,N34="%"),"%",_xlfn.CONCAT(ROUND(P34-N34,3)*100,"pt"))</f>
        <v>%</v>
      </c>
      <c r="R34" s="347" t="str">
        <f>IF(OR(C34=0,C34="%"),"%",_xlfn.CONCAT(ROUND(P34-C34,3)*100,"pt"))</f>
        <v>%</v>
      </c>
      <c r="S34" s="266" t="str">
        <f t="shared" ref="S34:S37" si="5">IF(OR(C34=0,C34="%"),"%",_xlfn.CONCAT(ROUND((P34-C34)/7,3)*100,"pt"))</f>
        <v>%</v>
      </c>
      <c r="T34" s="290"/>
    </row>
    <row r="35" spans="1:20" x14ac:dyDescent="0.3">
      <c r="A35" s="291"/>
      <c r="B35" s="164" t="s">
        <v>254</v>
      </c>
      <c r="C35" s="231">
        <f>IF(C10=0,"%",(-C18*$D$29)/(C10))</f>
        <v>2.8501223694804373E-2</v>
      </c>
      <c r="D35" s="231">
        <f>IF(D10=0,"%",(-D18*$D$29)/(D10))</f>
        <v>7.9281678022859611E-2</v>
      </c>
      <c r="E35" s="265" t="str">
        <f>IF(OR(C35=0,C35="%"),"%",_xlfn.CONCAT(ROUND(D35-C35,3)*100,"pt"))</f>
        <v>5.1pt</v>
      </c>
      <c r="F35" s="231">
        <f>IF(F10=0,"%",(-F18*$D$29)/(F10))</f>
        <v>3.7322161750798613E-5</v>
      </c>
      <c r="G35" s="265" t="str">
        <f>IF(OR(D35=0,D35="%"),"%",_xlfn.CONCAT(ROUND(F35-D35,3)*100,"pt"))</f>
        <v>-7.9pt</v>
      </c>
      <c r="H35" s="231">
        <f>IF(H10=0,"%",(-H18*$D$29)/(H10))</f>
        <v>1.1386318654813183E-5</v>
      </c>
      <c r="I35" s="265" t="str">
        <f>IF(OR(F35=0,F35="%"),"%",_xlfn.CONCAT(ROUND(H35-F35,3)*100,"pt"))</f>
        <v>0pt</v>
      </c>
      <c r="J35" s="231">
        <f>IF(J10=0,"%",(-J18*$D$29)/(J10))</f>
        <v>-1.3237321269434131E-2</v>
      </c>
      <c r="K35" s="265" t="str">
        <f>IF(OR(H35=0,H35="%"),"%",_xlfn.CONCAT(ROUND(J35-H35,3)*100,"pt"))</f>
        <v>-1.3pt</v>
      </c>
      <c r="L35" s="231">
        <f>IF(L10=0,"%",(-L18*$D$29)/(L10))</f>
        <v>1.0265137775711811E-2</v>
      </c>
      <c r="M35" s="265" t="str">
        <f>IF(OR(J35=0,J35="%"),"%",_xlfn.CONCAT(ROUND(L35-J35,3)*100,"pt"))</f>
        <v>2.4pt</v>
      </c>
      <c r="N35" s="231">
        <f>IF(N10=0,"%",(-N18*$D$29)/(N10))</f>
        <v>7.6004233849662041E-3</v>
      </c>
      <c r="O35" s="265" t="str">
        <f>IF(OR(L35=0,L35="%"),"%",_xlfn.CONCAT(ROUND(N35-L35,3)*100,"pt"))</f>
        <v>-0.3pt</v>
      </c>
      <c r="P35" s="231">
        <f>IF(P10=0,"%",(-P18*$D$29)/(P10))</f>
        <v>6.2974214063800651E-3</v>
      </c>
      <c r="Q35" s="265" t="str">
        <f>IF(OR(N35=0,N35="%"),"%",_xlfn.CONCAT(ROUND(P35-N35,3)*100,"pt"))</f>
        <v>-0.1pt</v>
      </c>
      <c r="R35" s="347" t="str">
        <f>IF(OR(C35=0,C35="%"),"%",_xlfn.CONCAT(ROUND(P35-C35,3)*100,"pt"))</f>
        <v>-2.2pt</v>
      </c>
      <c r="S35" s="266" t="str">
        <f t="shared" si="5"/>
        <v>-0.3pt</v>
      </c>
      <c r="T35" s="290"/>
    </row>
    <row r="36" spans="1:20" x14ac:dyDescent="0.3">
      <c r="A36" s="291"/>
      <c r="B36" s="164" t="s">
        <v>246</v>
      </c>
      <c r="C36" s="231">
        <f>IF(C8=0,"%",(-C18*$D$30)/C8)</f>
        <v>6.3631833249790895E-4</v>
      </c>
      <c r="D36" s="231">
        <f>IF(D8=0,"%",(-D18*$D$30)/D8)</f>
        <v>1.7887366643508265E-3</v>
      </c>
      <c r="E36" s="265" t="str">
        <f>IF(OR(C36=0,C36="%"),"%",_xlfn.CONCAT(ROUND(D36-C36,3)*100,"pt"))</f>
        <v>0.1pt</v>
      </c>
      <c r="F36" s="231">
        <f>IF(F8=0,"%",(-F18*$D$30)/F8)</f>
        <v>8.5043324957786288E-7</v>
      </c>
      <c r="G36" s="265" t="str">
        <f>IF(OR(D36=0,D36="%"),"%",_xlfn.CONCAT(ROUND(F36-D36,3)*100,"pt"))</f>
        <v>-0.2pt</v>
      </c>
      <c r="H36" s="231">
        <f>IF(H8=0,"%",(-H18*$D$30)/H8)</f>
        <v>2.5894308048915037E-7</v>
      </c>
      <c r="I36" s="265" t="str">
        <f>IF(OR(F36=0,F36="%"),"%",_xlfn.CONCAT(ROUND(H36-F36,3)*100,"pt"))</f>
        <v>0pt</v>
      </c>
      <c r="J36" s="231">
        <f>IF(J8=0,"%",(-J18*$D$30)/J8)</f>
        <v>-3.0605958156980503E-4</v>
      </c>
      <c r="K36" s="265" t="str">
        <f>IF(OR(H36=0,H36="%"),"%",_xlfn.CONCAT(ROUND(J36-H36,3)*100,"pt"))</f>
        <v>0pt</v>
      </c>
      <c r="L36" s="231">
        <f>IF(L8=0,"%",(-L18*$D$30)/L8)</f>
        <v>2.3512865722874419E-4</v>
      </c>
      <c r="M36" s="265" t="str">
        <f>IF(OR(J36=0,J36="%"),"%",_xlfn.CONCAT(ROUND(L36-J36,3)*100,"pt"))</f>
        <v>0.1pt</v>
      </c>
      <c r="N36" s="231">
        <f>IF(N8=0,"%",(-N18*$D$30)/N8)</f>
        <v>1.7275231271027955E-4</v>
      </c>
      <c r="O36" s="265" t="str">
        <f>IF(OR(L36=0,L36="%"),"%",_xlfn.CONCAT(ROUND(N36-L36,3)*100,"pt"))</f>
        <v>0pt</v>
      </c>
      <c r="P36" s="231">
        <f>IF(P8=0,"%",(-P18*$D$30)/P8)</f>
        <v>1.4222386688648444E-4</v>
      </c>
      <c r="Q36" s="265" t="str">
        <f>IF(OR(N36=0,N36="%"),"%",_xlfn.CONCAT(ROUND(P36-N36,3)*100,"pt"))</f>
        <v>0pt</v>
      </c>
      <c r="R36" s="347" t="str">
        <f>IF(OR(C36=0,C36="%"),"%",_xlfn.CONCAT(ROUND(P36-C36,3)*100,"pt"))</f>
        <v>0pt</v>
      </c>
      <c r="S36" s="266" t="str">
        <f t="shared" si="5"/>
        <v>0pt</v>
      </c>
      <c r="T36" s="290"/>
    </row>
    <row r="37" spans="1:20" ht="12.9" thickBot="1" x14ac:dyDescent="0.35">
      <c r="A37" s="291"/>
      <c r="B37" s="259" t="s">
        <v>237</v>
      </c>
      <c r="C37" s="260">
        <f>IF(C8=0,"%",((1+C36)*C8)/(((1+C35)*C10)+((1+C36)*C8)))</f>
        <v>0.52771535956548365</v>
      </c>
      <c r="D37" s="260">
        <f>IF(D8=0,"%",((1+D36)*D8)/(((1+D35)*D10)+((1+D36)*D8)))</f>
        <v>0.51335363487460128</v>
      </c>
      <c r="E37" s="267" t="str">
        <f>IF(OR(C37=0,C37="%"),"%",_xlfn.CONCAT(ROUND(D37-C37,3)*100,"pt"))</f>
        <v>-1.4pt</v>
      </c>
      <c r="F37" s="260">
        <f>IF(F8=0,"%",((1+F36)*F8)/(((1+F35)*F10)+((1+F36)*F8)))</f>
        <v>0.52946545299092262</v>
      </c>
      <c r="G37" s="267" t="str">
        <f>IF(OR(D37=0,D37="%"),"%",_xlfn.CONCAT(ROUND(F37-D37,3)*100,"pt"))</f>
        <v>1.6pt</v>
      </c>
      <c r="H37" s="260">
        <f>IF(H8=0,"%",((1+H36)*H8)/(((1+H35)*H10)+((1+H36)*H8)))</f>
        <v>0.52996075144089194</v>
      </c>
      <c r="I37" s="267" t="str">
        <f>IF(OR(F37=0,F37="%"),"%",_xlfn.CONCAT(ROUND(H37-F37,3)*100,"pt"))</f>
        <v>0pt</v>
      </c>
      <c r="J37" s="260">
        <f>IF(J8=0,"%",((1+J36)*J8)/(((1+J35)*J10)+((1+J36)*J8)))</f>
        <v>0.52908554019458143</v>
      </c>
      <c r="K37" s="267" t="str">
        <f>IF(OR(H37=0,H37="%"),"%",_xlfn.CONCAT(ROUND(J37-H37,3)*100,"pt"))</f>
        <v>-0.1pt</v>
      </c>
      <c r="L37" s="260">
        <f>IF(L8=0,"%",((1+L36)*L8)/(((1+L35)*L10)+((1+L36)*L8)))</f>
        <v>0.5256865057886021</v>
      </c>
      <c r="M37" s="267" t="str">
        <f>IF(OR(J37=0,J37="%"),"%",_xlfn.CONCAT(ROUND(L37-J37,3)*100,"pt"))</f>
        <v>-0.3pt</v>
      </c>
      <c r="N37" s="260">
        <f>IF(N8=0,"%",((1+N36)*N8)/(((1+N35)*N10)+((1+N36)*N8)))</f>
        <v>0.52825481368837157</v>
      </c>
      <c r="O37" s="267" t="str">
        <f>IF(OR(L37=0,L37="%"),"%",_xlfn.CONCAT(ROUND(N37-L37,3)*100,"pt"))</f>
        <v>0.3pt</v>
      </c>
      <c r="P37" s="260">
        <f>IF(P8=0,"%",((1+P36)*P8)/(((1+P35)*P10)+((1+P36)*P8)))</f>
        <v>0.53016235141682577</v>
      </c>
      <c r="Q37" s="267" t="str">
        <f>IF(OR(N37=0,N37="%"),"%",_xlfn.CONCAT(ROUND(P37-N37,3)*100,"pt"))</f>
        <v>0.2pt</v>
      </c>
      <c r="R37" s="348" t="str">
        <f>IF(OR(C37=0,C37="%"),"%",_xlfn.CONCAT(ROUND(P37-C37,3)*100,"pt"))</f>
        <v>0.2pt</v>
      </c>
      <c r="S37" s="334" t="str">
        <f t="shared" si="5"/>
        <v>0pt</v>
      </c>
      <c r="T37" s="290"/>
    </row>
    <row r="38" spans="1:20" x14ac:dyDescent="0.3">
      <c r="A38" s="291"/>
      <c r="B38" s="160"/>
      <c r="C38" s="160"/>
      <c r="D38" s="160"/>
      <c r="E38" s="160"/>
      <c r="F38" s="160"/>
      <c r="G38" s="160"/>
      <c r="H38" s="160"/>
      <c r="I38" s="160"/>
      <c r="J38" s="160"/>
      <c r="K38" s="160"/>
      <c r="L38" s="160"/>
      <c r="M38" s="160"/>
      <c r="N38" s="160"/>
      <c r="O38" s="160"/>
      <c r="P38" s="160"/>
      <c r="Q38" s="160"/>
      <c r="R38" s="160"/>
      <c r="S38" s="160"/>
      <c r="T38" s="290"/>
    </row>
    <row r="39" spans="1:20" x14ac:dyDescent="0.3">
      <c r="A39" s="291"/>
      <c r="B39" s="160"/>
      <c r="C39" s="160"/>
      <c r="D39" s="160"/>
      <c r="E39" s="160"/>
      <c r="F39" s="160"/>
      <c r="G39" s="160"/>
      <c r="H39" s="160"/>
      <c r="I39" s="160"/>
      <c r="J39" s="160"/>
      <c r="K39" s="160"/>
      <c r="L39" s="160"/>
      <c r="M39" s="160"/>
      <c r="N39" s="160"/>
      <c r="O39" s="160"/>
      <c r="P39" s="160"/>
      <c r="Q39" s="160"/>
      <c r="R39" s="160"/>
      <c r="S39" s="160"/>
      <c r="T39" s="290"/>
    </row>
    <row r="40" spans="1:20" x14ac:dyDescent="0.3">
      <c r="A40" s="293"/>
      <c r="B40" s="161"/>
      <c r="C40" s="161"/>
      <c r="D40" s="161"/>
      <c r="E40" s="161"/>
      <c r="F40" s="161"/>
      <c r="G40" s="161"/>
      <c r="H40" s="161"/>
      <c r="I40" s="161"/>
      <c r="J40" s="161"/>
      <c r="K40" s="161"/>
      <c r="L40" s="161"/>
      <c r="M40" s="161"/>
      <c r="N40" s="161"/>
      <c r="O40" s="161"/>
      <c r="P40" s="161"/>
      <c r="Q40" s="161"/>
      <c r="R40" s="161"/>
      <c r="S40" s="161"/>
      <c r="T40" s="294"/>
    </row>
  </sheetData>
  <mergeCells count="4">
    <mergeCell ref="B28:B31"/>
    <mergeCell ref="A2:G2"/>
    <mergeCell ref="R6:S6"/>
    <mergeCell ref="A3:S4"/>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H20"/>
  <sheetViews>
    <sheetView topLeftCell="A5" zoomScaleNormal="100" workbookViewId="0">
      <selection activeCell="D19" sqref="D19"/>
    </sheetView>
  </sheetViews>
  <sheetFormatPr defaultColWidth="9.15234375" defaultRowHeight="12.45" x14ac:dyDescent="0.3"/>
  <cols>
    <col min="1" max="1" width="9.15234375" style="1"/>
    <col min="2" max="2" width="110" style="1" customWidth="1"/>
    <col min="3" max="3" width="40" style="1" customWidth="1"/>
    <col min="4" max="4" width="18.61328125" style="1" customWidth="1"/>
    <col min="5" max="5" width="15.3828125" style="1" customWidth="1"/>
    <col min="6" max="6" width="18.61328125" style="1" customWidth="1"/>
    <col min="7" max="7" width="16.3828125" style="1" customWidth="1"/>
    <col min="8" max="8" width="77.23046875" style="1" customWidth="1"/>
    <col min="9" max="16384" width="9.15234375" style="1"/>
  </cols>
  <sheetData>
    <row r="1" spans="1:8" ht="20.149999999999999" customHeight="1" x14ac:dyDescent="0.3">
      <c r="A1" s="56" t="s">
        <v>255</v>
      </c>
      <c r="B1" s="56"/>
      <c r="C1" s="56"/>
      <c r="D1" s="56"/>
      <c r="E1" s="56"/>
      <c r="F1" s="56"/>
      <c r="G1" s="56"/>
    </row>
    <row r="2" spans="1:8" ht="20.149999999999999" customHeight="1" x14ac:dyDescent="0.3">
      <c r="A2" s="509" t="str">
        <f>'Institution ID'!C3</f>
        <v>Virginia Community College System</v>
      </c>
      <c r="B2" s="509"/>
      <c r="C2" s="509"/>
      <c r="D2" s="509"/>
      <c r="E2" s="509"/>
      <c r="F2" s="509"/>
      <c r="G2" s="509"/>
    </row>
    <row r="3" spans="1:8" s="6" customFormat="1" ht="30" customHeight="1" x14ac:dyDescent="0.3">
      <c r="A3" s="502" t="s">
        <v>27</v>
      </c>
      <c r="B3" s="502"/>
      <c r="C3" s="502"/>
      <c r="D3" s="502"/>
      <c r="E3" s="502"/>
      <c r="F3" s="502"/>
      <c r="G3" s="502"/>
      <c r="H3" s="502"/>
    </row>
    <row r="4" spans="1:8" s="6" customFormat="1" ht="114" customHeight="1" thickBot="1" x14ac:dyDescent="0.35">
      <c r="A4" s="517"/>
      <c r="B4" s="517"/>
      <c r="C4" s="517"/>
      <c r="D4" s="517"/>
      <c r="E4" s="517"/>
      <c r="F4" s="517"/>
      <c r="G4" s="517"/>
      <c r="H4" s="517"/>
    </row>
    <row r="5" spans="1:8" s="3" customFormat="1" ht="20.149999999999999" customHeight="1" thickBot="1" x14ac:dyDescent="0.4">
      <c r="A5" s="510" t="s">
        <v>256</v>
      </c>
      <c r="B5" s="504" t="s">
        <v>257</v>
      </c>
      <c r="C5" s="505"/>
      <c r="D5" s="505"/>
      <c r="E5" s="505"/>
      <c r="F5" s="505"/>
      <c r="G5" s="505"/>
      <c r="H5" s="506" t="s">
        <v>258</v>
      </c>
    </row>
    <row r="6" spans="1:8" s="3" customFormat="1" ht="20.149999999999999" customHeight="1" thickBot="1" x14ac:dyDescent="0.4">
      <c r="A6" s="511"/>
      <c r="B6" s="46"/>
      <c r="C6" s="377"/>
      <c r="D6" s="504" t="s">
        <v>259</v>
      </c>
      <c r="E6" s="505"/>
      <c r="F6" s="505"/>
      <c r="G6" s="505"/>
      <c r="H6" s="507"/>
    </row>
    <row r="7" spans="1:8" s="3" customFormat="1" ht="20.149999999999999" customHeight="1" thickBot="1" x14ac:dyDescent="0.4">
      <c r="A7" s="511"/>
      <c r="B7" s="506" t="s">
        <v>260</v>
      </c>
      <c r="C7" s="514" t="s">
        <v>261</v>
      </c>
      <c r="D7" s="505"/>
      <c r="E7" s="505"/>
      <c r="F7" s="505"/>
      <c r="G7" s="505"/>
      <c r="H7" s="507"/>
    </row>
    <row r="8" spans="1:8" s="3" customFormat="1" ht="20.149999999999999" customHeight="1" thickBot="1" x14ac:dyDescent="0.4">
      <c r="A8" s="511"/>
      <c r="B8" s="507"/>
      <c r="C8" s="515"/>
      <c r="D8" s="504" t="s">
        <v>168</v>
      </c>
      <c r="E8" s="505"/>
      <c r="F8" s="508" t="s">
        <v>169</v>
      </c>
      <c r="G8" s="505"/>
      <c r="H8" s="507"/>
    </row>
    <row r="9" spans="1:8" s="3" customFormat="1" ht="42" customHeight="1" thickBot="1" x14ac:dyDescent="0.4">
      <c r="A9" s="512"/>
      <c r="B9" s="513"/>
      <c r="C9" s="516"/>
      <c r="D9" s="57" t="s">
        <v>176</v>
      </c>
      <c r="E9" s="58" t="s">
        <v>262</v>
      </c>
      <c r="F9" s="59" t="s">
        <v>176</v>
      </c>
      <c r="G9" s="58" t="s">
        <v>262</v>
      </c>
      <c r="H9" s="507"/>
    </row>
    <row r="10" spans="1:8" ht="76.5" customHeight="1" thickBot="1" x14ac:dyDescent="0.35">
      <c r="A10" s="43">
        <v>1</v>
      </c>
      <c r="B10" s="393" t="s">
        <v>364</v>
      </c>
      <c r="C10" s="47" t="s">
        <v>264</v>
      </c>
      <c r="D10" s="42">
        <v>192727253.66999999</v>
      </c>
      <c r="E10" s="42">
        <v>192727253.67000002</v>
      </c>
      <c r="F10" s="42">
        <v>98486598.299999997</v>
      </c>
      <c r="G10" s="42">
        <v>98486598.299999997</v>
      </c>
      <c r="H10" s="394" t="s">
        <v>369</v>
      </c>
    </row>
    <row r="11" spans="1:8" ht="71.25" customHeight="1" thickBot="1" x14ac:dyDescent="0.35">
      <c r="A11" s="43">
        <v>2</v>
      </c>
      <c r="B11" s="393" t="s">
        <v>381</v>
      </c>
      <c r="C11" s="47" t="s">
        <v>270</v>
      </c>
      <c r="D11" s="42">
        <v>100000000</v>
      </c>
      <c r="E11" s="42">
        <v>100000000</v>
      </c>
      <c r="F11" s="42">
        <v>100000000</v>
      </c>
      <c r="G11" s="42">
        <v>100000000</v>
      </c>
      <c r="H11" s="394" t="s">
        <v>375</v>
      </c>
    </row>
    <row r="12" spans="1:8" ht="71.25" customHeight="1" thickBot="1" x14ac:dyDescent="0.35">
      <c r="A12" s="43">
        <v>3</v>
      </c>
      <c r="B12" s="393" t="s">
        <v>380</v>
      </c>
      <c r="C12" s="47" t="s">
        <v>264</v>
      </c>
      <c r="D12" s="42">
        <f>0</f>
        <v>0</v>
      </c>
      <c r="E12" s="42">
        <f>0</f>
        <v>0</v>
      </c>
      <c r="F12" s="42">
        <f>0</f>
        <v>0</v>
      </c>
      <c r="G12" s="42">
        <f>0</f>
        <v>0</v>
      </c>
      <c r="H12" s="394" t="s">
        <v>374</v>
      </c>
    </row>
    <row r="13" spans="1:8" ht="63.75" customHeight="1" thickBot="1" x14ac:dyDescent="0.35">
      <c r="A13" s="43">
        <v>4</v>
      </c>
      <c r="B13" s="393" t="s">
        <v>367</v>
      </c>
      <c r="C13" s="47" t="s">
        <v>264</v>
      </c>
      <c r="D13" s="42">
        <v>6500000</v>
      </c>
      <c r="E13" s="42">
        <v>6500000</v>
      </c>
      <c r="F13" s="42">
        <v>8500000</v>
      </c>
      <c r="G13" s="42">
        <v>8500000</v>
      </c>
      <c r="H13" s="394" t="s">
        <v>370</v>
      </c>
    </row>
    <row r="14" spans="1:8" ht="69.75" customHeight="1" thickBot="1" x14ac:dyDescent="0.35">
      <c r="A14" s="43">
        <v>5</v>
      </c>
      <c r="B14" s="393" t="s">
        <v>368</v>
      </c>
      <c r="C14" s="47" t="s">
        <v>264</v>
      </c>
      <c r="D14" s="42">
        <v>10700000</v>
      </c>
      <c r="E14" s="42">
        <v>10700000</v>
      </c>
      <c r="F14" s="42">
        <v>10700000</v>
      </c>
      <c r="G14" s="42">
        <v>10700000</v>
      </c>
      <c r="H14" s="394" t="s">
        <v>371</v>
      </c>
    </row>
    <row r="15" spans="1:8" ht="75" customHeight="1" thickBot="1" x14ac:dyDescent="0.35">
      <c r="A15" s="43">
        <v>6</v>
      </c>
      <c r="B15" s="393" t="s">
        <v>382</v>
      </c>
      <c r="C15" s="47" t="s">
        <v>270</v>
      </c>
      <c r="D15" s="42">
        <v>5300000</v>
      </c>
      <c r="E15" s="42">
        <v>5300000</v>
      </c>
      <c r="F15" s="42">
        <v>5300000</v>
      </c>
      <c r="G15" s="42">
        <v>5300000</v>
      </c>
      <c r="H15" s="394" t="s">
        <v>372</v>
      </c>
    </row>
    <row r="16" spans="1:8" ht="74.25" customHeight="1" thickBot="1" x14ac:dyDescent="0.35">
      <c r="A16" s="43">
        <v>7</v>
      </c>
      <c r="B16" s="393" t="s">
        <v>365</v>
      </c>
      <c r="C16" s="47" t="s">
        <v>265</v>
      </c>
      <c r="D16" s="42">
        <v>15000000</v>
      </c>
      <c r="E16" s="42">
        <v>15000000</v>
      </c>
      <c r="F16" s="42">
        <v>15000000</v>
      </c>
      <c r="G16" s="42">
        <v>15000000</v>
      </c>
      <c r="H16" s="394" t="s">
        <v>376</v>
      </c>
    </row>
    <row r="17" spans="1:8" ht="81.75" customHeight="1" thickBot="1" x14ac:dyDescent="0.35">
      <c r="A17" s="43">
        <v>8</v>
      </c>
      <c r="B17" s="393" t="s">
        <v>366</v>
      </c>
      <c r="C17" s="47" t="s">
        <v>268</v>
      </c>
      <c r="D17" s="42">
        <v>26700000</v>
      </c>
      <c r="E17" s="42">
        <v>26700000</v>
      </c>
      <c r="F17" s="42">
        <v>26700000</v>
      </c>
      <c r="G17" s="42">
        <v>26700000</v>
      </c>
      <c r="H17" s="394" t="s">
        <v>373</v>
      </c>
    </row>
    <row r="18" spans="1:8" ht="20.149999999999999" customHeight="1" thickTop="1" thickBot="1" x14ac:dyDescent="0.35">
      <c r="A18" s="44"/>
      <c r="B18" s="45"/>
      <c r="C18" s="48"/>
      <c r="D18" s="53">
        <f>0</f>
        <v>0</v>
      </c>
      <c r="E18" s="53">
        <f>0</f>
        <v>0</v>
      </c>
      <c r="F18" s="53">
        <f>0</f>
        <v>0</v>
      </c>
      <c r="G18" s="53">
        <f>0</f>
        <v>0</v>
      </c>
      <c r="H18" s="370"/>
    </row>
    <row r="19" spans="1:8" ht="15.45" thickTop="1" x14ac:dyDescent="0.3">
      <c r="A19" s="110"/>
      <c r="B19" s="110"/>
      <c r="C19" s="50"/>
      <c r="D19" s="49">
        <f>SUM(D10:D18)</f>
        <v>356927253.66999996</v>
      </c>
      <c r="E19" s="51">
        <f>SUM(E10:E18)</f>
        <v>356927253.67000002</v>
      </c>
      <c r="F19" s="52">
        <f>SUM(F10:F18)</f>
        <v>264686598.30000001</v>
      </c>
      <c r="G19" s="51">
        <f>SUM(G10:G18)</f>
        <v>264686598.30000001</v>
      </c>
      <c r="H19" s="110"/>
    </row>
    <row r="20" spans="1:8" x14ac:dyDescent="0.3">
      <c r="B20" s="503"/>
      <c r="C20" s="503"/>
      <c r="D20" s="503"/>
      <c r="E20" s="503"/>
    </row>
  </sheetData>
  <sortState xmlns:xlrd2="http://schemas.microsoft.com/office/spreadsheetml/2017/richdata2" ref="A10:H17">
    <sortCondition ref="A10:A17"/>
  </sortState>
  <mergeCells count="12">
    <mergeCell ref="B20:E20"/>
    <mergeCell ref="D8:E8"/>
    <mergeCell ref="H5:H9"/>
    <mergeCell ref="F8:G8"/>
    <mergeCell ref="A2:G2"/>
    <mergeCell ref="A5:A9"/>
    <mergeCell ref="B5:G5"/>
    <mergeCell ref="D6:G6"/>
    <mergeCell ref="B7:B9"/>
    <mergeCell ref="C7:C9"/>
    <mergeCell ref="D7:G7"/>
    <mergeCell ref="A3:H4"/>
  </mergeCells>
  <phoneticPr fontId="75" type="noConversion"/>
  <pageMargins left="0.7" right="0.45" top="0.25" bottom="0.5" header="0" footer="0.15"/>
  <pageSetup scale="72" fitToHeight="0" orientation="landscape" horizontalDpi="1200" verticalDpi="1200" r:id="rId1"/>
  <headerFooter>
    <oddFooter>&amp;L2017 Six-Year Plan - Academic-Financial Plan&amp;C&amp;P of &amp;N&amp;RSCHEV - 5/23/17</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26C806D9-A5D2-4599-8644-362BAA128E8F}">
          <x14:formula1>
            <xm:f>'GF Request Categories'!$A$2:$A$16</xm:f>
          </x14:formula1>
          <xm:sqref>C10:C18</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01e94d65-ae71-498a-a453-e1c80605881d" xsi:nil="true"/>
    <lcf76f155ced4ddcb4097134ff3c332f xmlns="f3d35a40-bbea-43c8-99cf-c6b5d40b3585">
      <Terms xmlns="http://schemas.microsoft.com/office/infopath/2007/PartnerControls"/>
    </lcf76f155ced4ddcb4097134ff3c332f>
    <SharedWithUsers xmlns="01e94d65-ae71-498a-a453-e1c80605881d">
      <UserInfo>
        <DisplayName/>
        <AccountId xsi:nil="true"/>
        <AccountType/>
      </UserInfo>
    </SharedWithUsers>
    <MediaLengthInSeconds xmlns="f3d35a40-bbea-43c8-99cf-c6b5d40b3585"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E238F7A94183E74187B11190571C8356" ma:contentTypeVersion="15" ma:contentTypeDescription="Create a new document." ma:contentTypeScope="" ma:versionID="59a46c6966bb3902afd82eb023caf3dd">
  <xsd:schema xmlns:xsd="http://www.w3.org/2001/XMLSchema" xmlns:xs="http://www.w3.org/2001/XMLSchema" xmlns:p="http://schemas.microsoft.com/office/2006/metadata/properties" xmlns:ns2="f3d35a40-bbea-43c8-99cf-c6b5d40b3585" xmlns:ns3="01e94d65-ae71-498a-a453-e1c80605881d" targetNamespace="http://schemas.microsoft.com/office/2006/metadata/properties" ma:root="true" ma:fieldsID="60f54ad43a37c4f12bc83020f72e349f" ns2:_="" ns3:_="">
    <xsd:import namespace="f3d35a40-bbea-43c8-99cf-c6b5d40b3585"/>
    <xsd:import namespace="01e94d65-ae71-498a-a453-e1c80605881d"/>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LengthInSecond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DateTaken" minOccurs="0"/>
                <xsd:element ref="ns2:MediaServiceLocation"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3d35a40-bbea-43c8-99cf-c6b5d40b358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0920e099-540f-4e49-b54d-0e500676ccfd" ma:termSetId="09814cd3-568e-fe90-9814-8d621ff8fb84" ma:anchorId="fba54fb3-c3e1-fe81-a776-ca4b69148c4d" ma:open="true" ma:isKeyword="false">
      <xsd:complexType>
        <xsd:sequence>
          <xsd:element ref="pc:Terms" minOccurs="0" maxOccurs="1"/>
        </xsd:sequence>
      </xsd:complexType>
    </xsd:element>
    <xsd:element name="MediaServiceDateTaken" ma:index="20" nillable="true" ma:displayName="MediaServiceDateTaken" ma:hidden="true" ma:indexed="true" ma:internalName="MediaServiceDateTaken"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1e94d65-ae71-498a-a453-e1c80605881d"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9" nillable="true" ma:displayName="Taxonomy Catch All Column" ma:hidden="true" ma:list="{1065693a-df8c-402d-996e-cf9ee50cbc90}" ma:internalName="TaxCatchAll" ma:showField="CatchAllData" ma:web="01e94d65-ae71-498a-a453-e1c80605881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E6C5413-E7E9-4C8F-A21A-8400F498CE78}">
  <ds:schemaRefs>
    <ds:schemaRef ds:uri="http://schemas.microsoft.com/sharepoint/v3/contenttype/forms"/>
  </ds:schemaRefs>
</ds:datastoreItem>
</file>

<file path=customXml/itemProps2.xml><?xml version="1.0" encoding="utf-8"?>
<ds:datastoreItem xmlns:ds="http://schemas.openxmlformats.org/officeDocument/2006/customXml" ds:itemID="{B173ED9B-A135-4073-9603-C359238DEB16}">
  <ds:schemaRefs>
    <ds:schemaRef ds:uri="http://schemas.microsoft.com/office/2006/metadata/properties"/>
    <ds:schemaRef ds:uri="http://schemas.microsoft.com/office/infopath/2007/PartnerControls"/>
    <ds:schemaRef ds:uri="01e94d65-ae71-498a-a453-e1c80605881d"/>
    <ds:schemaRef ds:uri="f3d35a40-bbea-43c8-99cf-c6b5d40b3585"/>
  </ds:schemaRefs>
</ds:datastoreItem>
</file>

<file path=customXml/itemProps3.xml><?xml version="1.0" encoding="utf-8"?>
<ds:datastoreItem xmlns:ds="http://schemas.openxmlformats.org/officeDocument/2006/customXml" ds:itemID="{60FC474B-156A-4B40-9101-34703B1AC7A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9</vt:i4>
      </vt:variant>
    </vt:vector>
  </HeadingPairs>
  <TitlesOfParts>
    <vt:vector size="21" baseType="lpstr">
      <vt:lpstr>Instruction</vt:lpstr>
      <vt:lpstr>Institution ID</vt:lpstr>
      <vt:lpstr>1-UG T&amp;F</vt:lpstr>
      <vt:lpstr>2-Revenue</vt:lpstr>
      <vt:lpstr>3-Financial Aid</vt:lpstr>
      <vt:lpstr>4-Academic-Financial</vt:lpstr>
      <vt:lpstr>4b - GF share</vt:lpstr>
      <vt:lpstr>5-Six-Year Pro Forma</vt:lpstr>
      <vt:lpstr>6-GF Request</vt:lpstr>
      <vt:lpstr>GF Request Categories</vt:lpstr>
      <vt:lpstr>Finance-Tuition Waivers</vt:lpstr>
      <vt:lpstr>Sheet1</vt:lpstr>
      <vt:lpstr>'4-Academic-Financial'!Print_Area</vt:lpstr>
      <vt:lpstr>'6-GF Request'!Print_Area</vt:lpstr>
      <vt:lpstr>'Finance-Tuition Waivers'!Print_Area</vt:lpstr>
      <vt:lpstr>'Institution ID'!Print_Area</vt:lpstr>
      <vt:lpstr>'4-Academic-Financial'!Print_Titles</vt:lpstr>
      <vt:lpstr>'6-GF Request'!Print_Titles</vt:lpstr>
      <vt:lpstr>'Finance-Tuition Waivers'!Print_Titles</vt:lpstr>
      <vt:lpstr>Rank</vt:lpstr>
      <vt:lpstr>YesNo</vt:lpstr>
    </vt:vector>
  </TitlesOfParts>
  <Manager/>
  <Company>Commonwealth of Virginia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YanZheng</dc:creator>
  <cp:keywords/>
  <dc:description/>
  <cp:lastModifiedBy>Craig Herndon</cp:lastModifiedBy>
  <cp:revision/>
  <dcterms:created xsi:type="dcterms:W3CDTF">2011-02-22T14:15:27Z</dcterms:created>
  <dcterms:modified xsi:type="dcterms:W3CDTF">2023-07-17T13:23:27Z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0x010100E238F7A94183E74187B11190571C8356</vt:lpwstr>
  </property>
  <property fmtid="{D5CDD505-2E9C-101B-9397-08002B2CF9AE}" pid="3" name="MediaServiceImageTags">
    <vt:lpwstr/>
  </property>
  <property fmtid="{D5CDD505-2E9C-101B-9397-08002B2CF9AE}" pid="4" name="MSIP_Label_b0d5c4f4-7a29-4385-b7a5-afbe2154ae6f_Enabled">
    <vt:lpwstr>true</vt:lpwstr>
  </property>
  <property fmtid="{D5CDD505-2E9C-101B-9397-08002B2CF9AE}" pid="5" name="MSIP_Label_b0d5c4f4-7a29-4385-b7a5-afbe2154ae6f_SetDate">
    <vt:lpwstr>2023-05-23T19:11:29Z</vt:lpwstr>
  </property>
  <property fmtid="{D5CDD505-2E9C-101B-9397-08002B2CF9AE}" pid="6" name="MSIP_Label_b0d5c4f4-7a29-4385-b7a5-afbe2154ae6f_Method">
    <vt:lpwstr>Standard</vt:lpwstr>
  </property>
  <property fmtid="{D5CDD505-2E9C-101B-9397-08002B2CF9AE}" pid="7" name="MSIP_Label_b0d5c4f4-7a29-4385-b7a5-afbe2154ae6f_Name">
    <vt:lpwstr>Confidential</vt:lpwstr>
  </property>
  <property fmtid="{D5CDD505-2E9C-101B-9397-08002B2CF9AE}" pid="8" name="MSIP_Label_b0d5c4f4-7a29-4385-b7a5-afbe2154ae6f_SiteId">
    <vt:lpwstr>2dfb2f0b-4d21-4268-9559-72926144c918</vt:lpwstr>
  </property>
  <property fmtid="{D5CDD505-2E9C-101B-9397-08002B2CF9AE}" pid="9" name="MSIP_Label_b0d5c4f4-7a29-4385-b7a5-afbe2154ae6f_ActionId">
    <vt:lpwstr>974741fb-b9bf-400f-90a2-85faa5a20194</vt:lpwstr>
  </property>
  <property fmtid="{D5CDD505-2E9C-101B-9397-08002B2CF9AE}" pid="10" name="MSIP_Label_b0d5c4f4-7a29-4385-b7a5-afbe2154ae6f_ContentBits">
    <vt:lpwstr>0</vt:lpwstr>
  </property>
  <property fmtid="{D5CDD505-2E9C-101B-9397-08002B2CF9AE}" pid="11" name="bcgClassification">
    <vt:lpwstr>bcgConfidential</vt:lpwstr>
  </property>
  <property fmtid="{D5CDD505-2E9C-101B-9397-08002B2CF9AE}" pid="12" name="Order">
    <vt:r8>220900</vt:r8>
  </property>
  <property fmtid="{D5CDD505-2E9C-101B-9397-08002B2CF9AE}" pid="13" name="_SourceUrl">
    <vt:lpwstr/>
  </property>
  <property fmtid="{D5CDD505-2E9C-101B-9397-08002B2CF9AE}" pid="14" name="_SharedFileIndex">
    <vt:lpwstr/>
  </property>
  <property fmtid="{D5CDD505-2E9C-101B-9397-08002B2CF9AE}" pid="15" name="ComplianceAssetId">
    <vt:lpwstr/>
  </property>
  <property fmtid="{D5CDD505-2E9C-101B-9397-08002B2CF9AE}" pid="16" name="_ExtendedDescription">
    <vt:lpwstr/>
  </property>
  <property fmtid="{D5CDD505-2E9C-101B-9397-08002B2CF9AE}" pid="17" name="TriggerFlowInfo">
    <vt:lpwstr/>
  </property>
  <property fmtid="{D5CDD505-2E9C-101B-9397-08002B2CF9AE}" pid="18" name="MSIP_Label_ffa7a1fb-3f48-4fd9-bce0-6283cfafd648_Enabled">
    <vt:lpwstr>true</vt:lpwstr>
  </property>
  <property fmtid="{D5CDD505-2E9C-101B-9397-08002B2CF9AE}" pid="19" name="MSIP_Label_ffa7a1fb-3f48-4fd9-bce0-6283cfafd648_SetDate">
    <vt:lpwstr>2023-06-07T19:28:50Z</vt:lpwstr>
  </property>
  <property fmtid="{D5CDD505-2E9C-101B-9397-08002B2CF9AE}" pid="20" name="MSIP_Label_ffa7a1fb-3f48-4fd9-bce0-6283cfafd648_Method">
    <vt:lpwstr>Standard</vt:lpwstr>
  </property>
  <property fmtid="{D5CDD505-2E9C-101B-9397-08002B2CF9AE}" pid="21" name="MSIP_Label_ffa7a1fb-3f48-4fd9-bce0-6283cfafd648_Name">
    <vt:lpwstr>defa4170-0d19-0005-0004-bc88714345d2</vt:lpwstr>
  </property>
  <property fmtid="{D5CDD505-2E9C-101B-9397-08002B2CF9AE}" pid="22" name="MSIP_Label_ffa7a1fb-3f48-4fd9-bce0-6283cfafd648_SiteId">
    <vt:lpwstr>fab6beb5-3604-42df-bddc-f4e9ddd654d5</vt:lpwstr>
  </property>
  <property fmtid="{D5CDD505-2E9C-101B-9397-08002B2CF9AE}" pid="23" name="MSIP_Label_ffa7a1fb-3f48-4fd9-bce0-6283cfafd648_ActionId">
    <vt:lpwstr>21e57b89-bba1-4b90-9c08-17ec6bad0604</vt:lpwstr>
  </property>
  <property fmtid="{D5CDD505-2E9C-101B-9397-08002B2CF9AE}" pid="24" name="MSIP_Label_ffa7a1fb-3f48-4fd9-bce0-6283cfafd648_ContentBits">
    <vt:lpwstr>0</vt:lpwstr>
  </property>
</Properties>
</file>