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autoCompressPictures="0" defaultThemeVersion="124226"/>
  <mc:AlternateContent xmlns:mc="http://schemas.openxmlformats.org/markup-compatibility/2006">
    <mc:Choice Requires="x15">
      <x15ac:absPath xmlns:x15ac="http://schemas.microsoft.com/office/spreadsheetml/2010/11/ac" url="Z:\Finance and Administration\SIX YEAR PLAN\SIX YEAR PLAN SUBMITTAL TO SCHEV - 2023\"/>
    </mc:Choice>
  </mc:AlternateContent>
  <xr:revisionPtr revIDLastSave="0" documentId="13_ncr:1_{C2ADDEE6-8665-45AD-9569-12BD39E05514}" xr6:coauthVersionLast="47" xr6:coauthVersionMax="47" xr10:uidLastSave="{00000000-0000-0000-0000-000000000000}"/>
  <bookViews>
    <workbookView xWindow="-20610" yWindow="5085" windowWidth="20730" windowHeight="11160" tabRatio="659" firstSheet="3" activeTab="3" xr2:uid="{00000000-000D-0000-FFFF-FFFF00000000}"/>
  </bookViews>
  <sheets>
    <sheet name="Instruction" sheetId="37" r:id="rId1"/>
    <sheet name="Institution ID" sheetId="8" r:id="rId2"/>
    <sheet name="1-UG T&amp;F" sheetId="29" r:id="rId3"/>
    <sheet name="2-Revenue" sheetId="2" r:id="rId4"/>
    <sheet name="3-Financial Aid" sheetId="28" r:id="rId5"/>
    <sheet name="4-Academic-Financial" sheetId="5" r:id="rId6"/>
    <sheet name="4b - GF share" sheetId="38" r:id="rId7"/>
    <sheet name="5-Six-Year Pro Forma" sheetId="34" r:id="rId8"/>
    <sheet name="6-GF Request" sheetId="21" r:id="rId9"/>
    <sheet name="GF Request Categories" sheetId="36" state="hidden" r:id="rId10"/>
    <sheet name="Finance-Tuition Waivers" sheetId="9" state="hidden" r:id="rId11"/>
    <sheet name="Sheet1" sheetId="10" state="hidden" r:id="rId12"/>
  </sheets>
  <definedNames>
    <definedName name="_xlnm.Print_Area" localSheetId="5">'4-Academic-Financial'!$A$1:$Q$56</definedName>
    <definedName name="_xlnm.Print_Area" localSheetId="8">'6-GF Request'!$A$1:$H$24</definedName>
    <definedName name="_xlnm.Print_Area" localSheetId="10">'Finance-Tuition Waivers'!$A$1:$H$135</definedName>
    <definedName name="_xlnm.Print_Area" localSheetId="1">'Institution ID'!$A$1:$S$8</definedName>
    <definedName name="_xlnm.Print_Titles" localSheetId="5">'4-Academic-Financial'!$1:$2</definedName>
    <definedName name="_xlnm.Print_Titles" localSheetId="8">'6-GF Request'!$1:$9</definedName>
    <definedName name="_xlnm.Print_Titles" localSheetId="10">'Finance-Tuition Waivers'!$1:$5</definedName>
    <definedName name="Rank">Sheet1!$A$2:$A$51</definedName>
    <definedName name="YesNo">Sheet1!$B$2:$B$3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2" i="21" l="1"/>
  <c r="D12" i="21"/>
  <c r="C108" i="28"/>
  <c r="C107" i="28"/>
  <c r="C106" i="28"/>
  <c r="C105" i="28"/>
  <c r="C104" i="28"/>
  <c r="C103" i="28"/>
  <c r="C95" i="28"/>
  <c r="C94" i="28"/>
  <c r="C93" i="28"/>
  <c r="C92" i="28"/>
  <c r="C91" i="28"/>
  <c r="C90" i="28"/>
  <c r="C82" i="28"/>
  <c r="C81" i="28"/>
  <c r="C80" i="28"/>
  <c r="C79" i="28"/>
  <c r="C78" i="28"/>
  <c r="C77" i="28"/>
  <c r="C69" i="28"/>
  <c r="C68" i="28"/>
  <c r="C67" i="28"/>
  <c r="C66" i="28"/>
  <c r="C65" i="28"/>
  <c r="C64" i="28"/>
  <c r="C56" i="28"/>
  <c r="C55" i="28"/>
  <c r="C54" i="28"/>
  <c r="C53" i="28"/>
  <c r="C52" i="28"/>
  <c r="C51" i="28"/>
  <c r="E52" i="28"/>
  <c r="E51" i="28"/>
  <c r="E38" i="28" l="1"/>
  <c r="E64" i="28" s="1"/>
  <c r="E77" i="28" s="1"/>
  <c r="E90" i="28" s="1"/>
  <c r="E103" i="28" s="1"/>
  <c r="G7" i="2"/>
  <c r="E7" i="2"/>
  <c r="G12" i="2"/>
  <c r="K39" i="5"/>
  <c r="K28" i="5"/>
  <c r="E9" i="2"/>
  <c r="E10" i="2"/>
  <c r="E12" i="2"/>
  <c r="K12" i="5"/>
  <c r="G10" i="2"/>
  <c r="G9" i="2"/>
  <c r="G13" i="21"/>
  <c r="F13" i="21"/>
  <c r="D13" i="21"/>
  <c r="P33" i="5"/>
  <c r="O33" i="5"/>
  <c r="N33" i="5"/>
  <c r="M33" i="5"/>
  <c r="G34" i="2"/>
  <c r="G32" i="2"/>
  <c r="G31" i="2"/>
  <c r="E34" i="2"/>
  <c r="C34" i="2"/>
  <c r="B34" i="2"/>
  <c r="E32" i="2"/>
  <c r="E31" i="2"/>
  <c r="E65" i="28"/>
  <c r="E78" i="28" s="1"/>
  <c r="E91" i="28" s="1"/>
  <c r="E104" i="28" s="1"/>
  <c r="E39" i="28"/>
  <c r="E13" i="28"/>
  <c r="E12" i="28"/>
  <c r="G15" i="28"/>
  <c r="L16" i="5"/>
  <c r="L15" i="5"/>
  <c r="L14" i="5"/>
  <c r="L13" i="5"/>
  <c r="L12" i="5"/>
  <c r="L17" i="5"/>
  <c r="L18" i="5"/>
  <c r="K18" i="5"/>
  <c r="K14" i="5"/>
  <c r="K15" i="5"/>
  <c r="K13" i="5"/>
  <c r="K25" i="5"/>
  <c r="E8" i="2"/>
  <c r="E13" i="29"/>
  <c r="E9" i="29"/>
  <c r="G8" i="2"/>
  <c r="I33" i="5"/>
  <c r="O23" i="2"/>
  <c r="I10" i="2"/>
  <c r="K10" i="2" s="1"/>
  <c r="M10" i="2" s="1"/>
  <c r="O10" i="2" s="1"/>
  <c r="I8" i="2"/>
  <c r="K8" i="2" s="1"/>
  <c r="M8" i="2" s="1"/>
  <c r="O8" i="2" s="1"/>
  <c r="I7" i="2"/>
  <c r="K7" i="2" s="1"/>
  <c r="M7" i="2" s="1"/>
  <c r="O7" i="2" s="1"/>
  <c r="M23" i="2"/>
  <c r="K23" i="2"/>
  <c r="I23" i="2"/>
  <c r="G23" i="2"/>
  <c r="E23" i="2"/>
  <c r="I12" i="2"/>
  <c r="K12" i="2" s="1"/>
  <c r="M12" i="2" s="1"/>
  <c r="O12" i="2" s="1"/>
  <c r="E11" i="2"/>
  <c r="G11" i="2" s="1"/>
  <c r="I11" i="2" s="1"/>
  <c r="K11" i="2" s="1"/>
  <c r="M11" i="2" s="1"/>
  <c r="O11" i="2" s="1"/>
  <c r="C9" i="2"/>
  <c r="I9" i="2" s="1"/>
  <c r="K9" i="2" s="1"/>
  <c r="M9" i="2" s="1"/>
  <c r="O9" i="2" s="1"/>
  <c r="E14" i="29"/>
  <c r="E15" i="29"/>
  <c r="C14" i="29"/>
  <c r="C15" i="29"/>
  <c r="C13" i="29"/>
  <c r="E11" i="29"/>
  <c r="C11" i="29"/>
  <c r="C9" i="29"/>
  <c r="O24" i="5"/>
  <c r="P24" i="5" s="1"/>
  <c r="N24" i="5"/>
  <c r="M24" i="5"/>
  <c r="K24" i="5"/>
  <c r="I25" i="5"/>
  <c r="C25" i="2"/>
  <c r="C26" i="28"/>
  <c r="C25" i="28"/>
  <c r="F28" i="28"/>
  <c r="C32" i="2"/>
  <c r="C31" i="2"/>
  <c r="H22" i="5"/>
  <c r="H14" i="5"/>
  <c r="G14" i="5"/>
  <c r="H15" i="5"/>
  <c r="G15" i="5"/>
  <c r="F22" i="5"/>
  <c r="L22" i="5"/>
  <c r="J22" i="5"/>
  <c r="K17" i="5"/>
  <c r="K16" i="5"/>
  <c r="H18" i="5"/>
  <c r="G18" i="5"/>
  <c r="G17" i="5"/>
  <c r="G16" i="5"/>
  <c r="H17" i="5"/>
  <c r="H16" i="5"/>
  <c r="G12" i="5"/>
  <c r="H13" i="5"/>
  <c r="G13" i="5"/>
  <c r="H12" i="5"/>
  <c r="C8" i="2"/>
  <c r="C7" i="2"/>
  <c r="C23" i="2"/>
  <c r="G14" i="28"/>
  <c r="F12" i="28"/>
  <c r="F12" i="5"/>
  <c r="E23" i="5"/>
  <c r="E24" i="5"/>
  <c r="I24" i="5"/>
  <c r="P23" i="5"/>
  <c r="O23" i="5"/>
  <c r="N23" i="5"/>
  <c r="M23" i="5"/>
  <c r="I23" i="5"/>
  <c r="F24" i="5"/>
  <c r="Q7" i="2"/>
  <c r="Q8" i="2"/>
  <c r="Q9" i="2"/>
  <c r="Q10" i="2"/>
  <c r="Q11" i="2"/>
  <c r="Q12" i="2"/>
  <c r="Q13" i="2"/>
  <c r="Q14" i="2"/>
  <c r="Q17" i="2"/>
  <c r="Q19" i="2"/>
  <c r="Q20" i="2"/>
  <c r="Q21" i="2"/>
  <c r="Q22" i="2"/>
  <c r="Q23" i="2"/>
  <c r="Q24" i="2"/>
  <c r="Q25" i="2"/>
  <c r="Q26" i="2"/>
  <c r="H50" i="5"/>
  <c r="M25" i="5" l="1"/>
  <c r="N25" i="5" s="1"/>
  <c r="O25" i="5" s="1"/>
  <c r="P25" i="5" s="1"/>
  <c r="J17" i="5"/>
  <c r="I17" i="5"/>
  <c r="F17" i="5"/>
  <c r="E17" i="5" s="1"/>
  <c r="J16" i="5"/>
  <c r="I16" i="5"/>
  <c r="E16" i="5"/>
  <c r="F16" i="5"/>
  <c r="K49" i="5"/>
  <c r="K48" i="5"/>
  <c r="K47" i="5"/>
  <c r="K46" i="5"/>
  <c r="K45" i="5"/>
  <c r="K43" i="5"/>
  <c r="K42" i="5"/>
  <c r="K41" i="5"/>
  <c r="K40" i="5"/>
  <c r="K37" i="5"/>
  <c r="K36" i="5"/>
  <c r="K35" i="5"/>
  <c r="K34" i="5"/>
  <c r="K31" i="5"/>
  <c r="K30" i="5"/>
  <c r="K29" i="5"/>
  <c r="K26" i="5"/>
  <c r="K23" i="5"/>
  <c r="K22" i="5"/>
  <c r="K20" i="5"/>
  <c r="K19" i="5"/>
  <c r="G19" i="5"/>
  <c r="G20" i="5"/>
  <c r="G23" i="5"/>
  <c r="G26" i="5"/>
  <c r="G29" i="5"/>
  <c r="G30" i="5"/>
  <c r="G31" i="5"/>
  <c r="G34" i="5"/>
  <c r="G35" i="5"/>
  <c r="G36" i="5"/>
  <c r="G37" i="5"/>
  <c r="G40" i="5"/>
  <c r="G41" i="5"/>
  <c r="G42" i="5"/>
  <c r="G43" i="5"/>
  <c r="G45" i="5"/>
  <c r="G46" i="5"/>
  <c r="G47" i="5"/>
  <c r="G48" i="5"/>
  <c r="G49" i="5"/>
  <c r="D16" i="21"/>
  <c r="E16" i="21"/>
  <c r="F16" i="21"/>
  <c r="G16" i="21"/>
  <c r="D17" i="21"/>
  <c r="E17" i="21"/>
  <c r="F17" i="21"/>
  <c r="G17" i="21"/>
  <c r="D18" i="21"/>
  <c r="E18" i="21"/>
  <c r="F18" i="21"/>
  <c r="G18" i="21"/>
  <c r="D19" i="21"/>
  <c r="E19" i="21"/>
  <c r="F19" i="21"/>
  <c r="G19" i="21"/>
  <c r="D20" i="21"/>
  <c r="E20" i="21"/>
  <c r="F20" i="21"/>
  <c r="G20" i="21"/>
  <c r="D21" i="21"/>
  <c r="E21" i="21"/>
  <c r="F21" i="21"/>
  <c r="G21" i="21"/>
  <c r="G50" i="5" l="1"/>
  <c r="K50" i="5"/>
  <c r="P46" i="5"/>
  <c r="O46" i="5"/>
  <c r="N46" i="5"/>
  <c r="M46" i="5"/>
  <c r="J46" i="5"/>
  <c r="F46" i="5"/>
  <c r="P47" i="5"/>
  <c r="O47" i="5"/>
  <c r="N47" i="5"/>
  <c r="M47" i="5"/>
  <c r="J47" i="5"/>
  <c r="F47" i="5"/>
  <c r="E47" i="5" s="1"/>
  <c r="P45" i="5"/>
  <c r="O45" i="5"/>
  <c r="N45" i="5"/>
  <c r="M45" i="5"/>
  <c r="J45" i="5"/>
  <c r="I45" i="5" s="1"/>
  <c r="F45" i="5"/>
  <c r="P48" i="5"/>
  <c r="O48" i="5"/>
  <c r="N48" i="5"/>
  <c r="M48" i="5"/>
  <c r="J48" i="5"/>
  <c r="F48" i="5"/>
  <c r="P41" i="5"/>
  <c r="O41" i="5"/>
  <c r="N41" i="5"/>
  <c r="M41" i="5"/>
  <c r="J41" i="5"/>
  <c r="F41" i="5"/>
  <c r="P42" i="5"/>
  <c r="O42" i="5"/>
  <c r="N42" i="5"/>
  <c r="M42" i="5"/>
  <c r="J42" i="5"/>
  <c r="F42" i="5"/>
  <c r="P40" i="5"/>
  <c r="O40" i="5"/>
  <c r="N40" i="5"/>
  <c r="M40" i="5"/>
  <c r="J40" i="5"/>
  <c r="F40" i="5"/>
  <c r="P39" i="5"/>
  <c r="O39" i="5"/>
  <c r="N39" i="5"/>
  <c r="M39" i="5"/>
  <c r="J39" i="5"/>
  <c r="F39" i="5"/>
  <c r="P30" i="5"/>
  <c r="O30" i="5"/>
  <c r="N30" i="5"/>
  <c r="M30" i="5"/>
  <c r="J30" i="5"/>
  <c r="F30" i="5"/>
  <c r="P19" i="5"/>
  <c r="O19" i="5"/>
  <c r="N19" i="5"/>
  <c r="M19" i="5"/>
  <c r="J19" i="5"/>
  <c r="F19" i="5"/>
  <c r="J24" i="5"/>
  <c r="F25" i="5"/>
  <c r="F35" i="5"/>
  <c r="J35" i="5"/>
  <c r="M35" i="5"/>
  <c r="N35" i="5"/>
  <c r="O35" i="5"/>
  <c r="P35" i="5"/>
  <c r="F36" i="5"/>
  <c r="J36" i="5"/>
  <c r="M36" i="5"/>
  <c r="N36" i="5"/>
  <c r="O36" i="5"/>
  <c r="P36" i="5"/>
  <c r="F37" i="5"/>
  <c r="J37" i="5"/>
  <c r="I37" i="5" s="1"/>
  <c r="M37" i="5"/>
  <c r="N37" i="5"/>
  <c r="O37" i="5"/>
  <c r="P37" i="5"/>
  <c r="F33" i="5"/>
  <c r="P34" i="5"/>
  <c r="O34" i="5"/>
  <c r="N34" i="5"/>
  <c r="M34" i="5"/>
  <c r="I47" i="5" l="1"/>
  <c r="E46" i="5"/>
  <c r="I46" i="5"/>
  <c r="E48" i="5"/>
  <c r="E45" i="5"/>
  <c r="I48" i="5"/>
  <c r="E35" i="5"/>
  <c r="E19" i="5"/>
  <c r="E30" i="5"/>
  <c r="E39" i="5"/>
  <c r="E41" i="5"/>
  <c r="I40" i="5"/>
  <c r="I41" i="5"/>
  <c r="I42" i="5"/>
  <c r="E40" i="5"/>
  <c r="E42" i="5"/>
  <c r="I39" i="5"/>
  <c r="I30" i="5"/>
  <c r="I19" i="5"/>
  <c r="E25" i="5"/>
  <c r="E37" i="5"/>
  <c r="I36" i="5"/>
  <c r="I35" i="5"/>
  <c r="E33" i="5"/>
  <c r="E34" i="5"/>
  <c r="E36" i="5"/>
  <c r="P43" i="5"/>
  <c r="O43" i="5"/>
  <c r="N43" i="5"/>
  <c r="M43" i="5"/>
  <c r="J43" i="5"/>
  <c r="F43" i="5"/>
  <c r="P29" i="5"/>
  <c r="O29" i="5"/>
  <c r="N29" i="5"/>
  <c r="M29" i="5"/>
  <c r="J29" i="5"/>
  <c r="F29" i="5"/>
  <c r="F28" i="5"/>
  <c r="P26" i="5"/>
  <c r="O26" i="5"/>
  <c r="N26" i="5"/>
  <c r="M26" i="5"/>
  <c r="J26" i="5"/>
  <c r="F26" i="5"/>
  <c r="J23" i="5"/>
  <c r="F23" i="5"/>
  <c r="J20" i="5"/>
  <c r="M20" i="5"/>
  <c r="N20" i="5"/>
  <c r="O20" i="5"/>
  <c r="P20" i="5"/>
  <c r="F18" i="5"/>
  <c r="F20" i="5"/>
  <c r="I22" i="5" l="1"/>
  <c r="I28" i="5"/>
  <c r="M28" i="5" s="1"/>
  <c r="N28" i="5" s="1"/>
  <c r="O28" i="5" s="1"/>
  <c r="P28" i="5" s="1"/>
  <c r="E43" i="5"/>
  <c r="I43" i="5"/>
  <c r="I20" i="5"/>
  <c r="E26" i="5"/>
  <c r="E20" i="5"/>
  <c r="I29" i="5"/>
  <c r="E22" i="5"/>
  <c r="I26" i="5"/>
  <c r="E29" i="5"/>
  <c r="I18" i="5"/>
  <c r="E18" i="5"/>
  <c r="C14" i="34"/>
  <c r="D31" i="34" l="1"/>
  <c r="O24" i="2" l="1"/>
  <c r="P10" i="34" s="1"/>
  <c r="M24" i="2"/>
  <c r="K24" i="2"/>
  <c r="I24" i="2"/>
  <c r="G24" i="2"/>
  <c r="E24" i="2"/>
  <c r="C24" i="2"/>
  <c r="B24" i="2"/>
  <c r="R24" i="2"/>
  <c r="P24" i="2" l="1"/>
  <c r="N10" i="34"/>
  <c r="N24" i="2"/>
  <c r="L10" i="34"/>
  <c r="L24" i="2"/>
  <c r="J10" i="34"/>
  <c r="J24" i="2"/>
  <c r="H10" i="34"/>
  <c r="H24" i="2"/>
  <c r="F10" i="34"/>
  <c r="F24" i="2"/>
  <c r="J55" i="5"/>
  <c r="I55" i="5"/>
  <c r="D10" i="34"/>
  <c r="C26" i="2"/>
  <c r="D6" i="5" s="1"/>
  <c r="D14" i="34" s="1"/>
  <c r="D24" i="2"/>
  <c r="C10" i="34"/>
  <c r="B26" i="2"/>
  <c r="R10" i="34"/>
  <c r="S10" i="34" s="1"/>
  <c r="A2" i="34"/>
  <c r="F108" i="28"/>
  <c r="D108" i="28"/>
  <c r="F107" i="28"/>
  <c r="D107" i="28"/>
  <c r="D106" i="28"/>
  <c r="D105" i="28"/>
  <c r="D104" i="28"/>
  <c r="F95" i="28"/>
  <c r="D95" i="28"/>
  <c r="F94" i="28"/>
  <c r="D94" i="28"/>
  <c r="D93" i="28"/>
  <c r="D92" i="28"/>
  <c r="D91" i="28"/>
  <c r="D90" i="28"/>
  <c r="F82" i="28"/>
  <c r="D82" i="28"/>
  <c r="F81" i="28"/>
  <c r="D81" i="28"/>
  <c r="D80" i="28"/>
  <c r="D79" i="28"/>
  <c r="D78" i="28"/>
  <c r="F69" i="28"/>
  <c r="D69" i="28"/>
  <c r="F68" i="28"/>
  <c r="D68" i="28"/>
  <c r="D67" i="28"/>
  <c r="D66" i="28"/>
  <c r="D65" i="28"/>
  <c r="C8" i="34"/>
  <c r="H23" i="2"/>
  <c r="L23" i="2"/>
  <c r="J23" i="2"/>
  <c r="N23" i="2"/>
  <c r="P23" i="2"/>
  <c r="E25" i="2"/>
  <c r="E26" i="2" s="1"/>
  <c r="C13" i="34" l="1"/>
  <c r="C12" i="34"/>
  <c r="E96" i="28"/>
  <c r="F109" i="28"/>
  <c r="G109" i="28"/>
  <c r="F96" i="28"/>
  <c r="G96" i="28"/>
  <c r="C109" i="28"/>
  <c r="D109" i="28" s="1"/>
  <c r="E109" i="28"/>
  <c r="D103" i="28"/>
  <c r="C96" i="28"/>
  <c r="D96" i="28" s="1"/>
  <c r="G83" i="28"/>
  <c r="J77" i="28"/>
  <c r="K77" i="28" s="1"/>
  <c r="C83" i="28"/>
  <c r="D83" i="28" s="1"/>
  <c r="D77" i="28"/>
  <c r="E83" i="28"/>
  <c r="F83" i="28"/>
  <c r="J64" i="28"/>
  <c r="K64" i="28" s="1"/>
  <c r="E70" i="28"/>
  <c r="G70" i="28"/>
  <c r="C70" i="28"/>
  <c r="D70" i="28" s="1"/>
  <c r="F70" i="28"/>
  <c r="D64" i="28"/>
  <c r="G25" i="2"/>
  <c r="D8" i="34"/>
  <c r="F25" i="2"/>
  <c r="D25" i="2"/>
  <c r="E8" i="34"/>
  <c r="G26" i="2" l="1"/>
  <c r="H25" i="2"/>
  <c r="C23" i="34"/>
  <c r="C17" i="34"/>
  <c r="D13" i="34"/>
  <c r="D12" i="34"/>
  <c r="E12" i="34" s="1"/>
  <c r="E13" i="34"/>
  <c r="I25" i="2"/>
  <c r="I26" i="2" s="1"/>
  <c r="J25" i="2"/>
  <c r="D17" i="34" l="1"/>
  <c r="D23" i="34"/>
  <c r="E17" i="34"/>
  <c r="C18" i="34"/>
  <c r="F23" i="34"/>
  <c r="K25" i="2"/>
  <c r="K26" i="2" s="1"/>
  <c r="L25" i="2"/>
  <c r="C36" i="34" l="1"/>
  <c r="C25" i="34"/>
  <c r="G23" i="34"/>
  <c r="E23" i="34"/>
  <c r="C35" i="34"/>
  <c r="C24" i="34"/>
  <c r="C34" i="34"/>
  <c r="D18" i="34"/>
  <c r="H23" i="34"/>
  <c r="I23" i="34"/>
  <c r="M25" i="2"/>
  <c r="M26" i="2" s="1"/>
  <c r="N25" i="2"/>
  <c r="D36" i="34" l="1"/>
  <c r="D25" i="34"/>
  <c r="E25" i="34"/>
  <c r="C37" i="34"/>
  <c r="S36" i="34"/>
  <c r="R36" i="34"/>
  <c r="E36" i="34"/>
  <c r="D34" i="34"/>
  <c r="G34" i="34" s="1"/>
  <c r="D24" i="34"/>
  <c r="D35" i="34"/>
  <c r="G35" i="34" s="1"/>
  <c r="E24" i="34"/>
  <c r="R35" i="34"/>
  <c r="S35" i="34"/>
  <c r="E35" i="34"/>
  <c r="E18" i="34"/>
  <c r="E34" i="34"/>
  <c r="S34" i="34"/>
  <c r="R34" i="34"/>
  <c r="J23" i="34"/>
  <c r="K23" i="34"/>
  <c r="O25" i="2"/>
  <c r="O26" i="2" l="1"/>
  <c r="Q18" i="2" s="1"/>
  <c r="R25" i="2"/>
  <c r="P25" i="2"/>
  <c r="G36" i="34"/>
  <c r="D37" i="34"/>
  <c r="E37" i="34"/>
  <c r="L23" i="34"/>
  <c r="M23" i="34"/>
  <c r="B64" i="28"/>
  <c r="B77" i="28"/>
  <c r="B90" i="28"/>
  <c r="B103" i="28"/>
  <c r="B104" i="28"/>
  <c r="H104" i="28" s="1"/>
  <c r="I104" i="28" s="1"/>
  <c r="B105" i="28"/>
  <c r="H105" i="28" s="1"/>
  <c r="I105" i="28" s="1"/>
  <c r="B106" i="28"/>
  <c r="H106" i="28" s="1"/>
  <c r="I106" i="28" s="1"/>
  <c r="I13" i="2"/>
  <c r="L13" i="2" s="1"/>
  <c r="K13" i="2"/>
  <c r="N13" i="2" s="1"/>
  <c r="M13" i="2"/>
  <c r="P13" i="2" s="1"/>
  <c r="O13" i="2"/>
  <c r="I14" i="2"/>
  <c r="L14" i="2" s="1"/>
  <c r="K14" i="2"/>
  <c r="N14" i="2" s="1"/>
  <c r="M14" i="2"/>
  <c r="P14" i="2" s="1"/>
  <c r="O14" i="2"/>
  <c r="I15" i="2"/>
  <c r="L15" i="2" s="1"/>
  <c r="K15" i="2"/>
  <c r="N15" i="2" s="1"/>
  <c r="M15" i="2"/>
  <c r="P15" i="2" s="1"/>
  <c r="O15" i="2"/>
  <c r="I16" i="2"/>
  <c r="L16" i="2" s="1"/>
  <c r="K16" i="2"/>
  <c r="N16" i="2" s="1"/>
  <c r="M16" i="2"/>
  <c r="P16" i="2" s="1"/>
  <c r="O16" i="2"/>
  <c r="I17" i="2"/>
  <c r="L17" i="2" s="1"/>
  <c r="K17" i="2"/>
  <c r="N17" i="2" s="1"/>
  <c r="M17" i="2"/>
  <c r="P17" i="2" s="1"/>
  <c r="O17" i="2"/>
  <c r="I18" i="2"/>
  <c r="L18" i="2" s="1"/>
  <c r="K18" i="2"/>
  <c r="N18" i="2" s="1"/>
  <c r="M18" i="2"/>
  <c r="P18" i="2" s="1"/>
  <c r="O18" i="2"/>
  <c r="I19" i="2"/>
  <c r="L19" i="2" s="1"/>
  <c r="K19" i="2"/>
  <c r="N19" i="2" s="1"/>
  <c r="M19" i="2"/>
  <c r="P19" i="2" s="1"/>
  <c r="O19" i="2"/>
  <c r="I20" i="2"/>
  <c r="L20" i="2" s="1"/>
  <c r="K20" i="2"/>
  <c r="N20" i="2" s="1"/>
  <c r="M20" i="2"/>
  <c r="P20" i="2" s="1"/>
  <c r="O20" i="2"/>
  <c r="I21" i="2"/>
  <c r="K21" i="2"/>
  <c r="M21" i="2"/>
  <c r="O21" i="2"/>
  <c r="F23" i="2"/>
  <c r="E16" i="29"/>
  <c r="F16" i="29" s="1"/>
  <c r="C16" i="29"/>
  <c r="D16" i="29" s="1"/>
  <c r="B16" i="29"/>
  <c r="E12" i="29"/>
  <c r="C12" i="29"/>
  <c r="D12" i="29" s="1"/>
  <c r="B12" i="29"/>
  <c r="F13" i="29"/>
  <c r="F14" i="29"/>
  <c r="F15" i="29"/>
  <c r="D13" i="29"/>
  <c r="D14" i="29"/>
  <c r="D15" i="29"/>
  <c r="P21" i="2" l="1"/>
  <c r="N21" i="2"/>
  <c r="L21" i="2"/>
  <c r="F12" i="29"/>
  <c r="N23" i="34"/>
  <c r="O23" i="34"/>
  <c r="B108" i="28"/>
  <c r="H108" i="28" s="1"/>
  <c r="I108" i="28" s="1"/>
  <c r="P8" i="2"/>
  <c r="B91" i="28"/>
  <c r="H91" i="28" s="1"/>
  <c r="I91" i="28" s="1"/>
  <c r="N12" i="2"/>
  <c r="B82" i="28"/>
  <c r="H82" i="28" s="1"/>
  <c r="I82" i="28" s="1"/>
  <c r="N10" i="2"/>
  <c r="B80" i="28"/>
  <c r="H80" i="28" s="1"/>
  <c r="I80" i="28" s="1"/>
  <c r="N8" i="2"/>
  <c r="B78" i="28"/>
  <c r="H78" i="28" s="1"/>
  <c r="I78" i="28" s="1"/>
  <c r="L12" i="2"/>
  <c r="B69" i="28"/>
  <c r="H69" i="28" s="1"/>
  <c r="I69" i="28" s="1"/>
  <c r="L10" i="2"/>
  <c r="B67" i="28"/>
  <c r="H67" i="28" s="1"/>
  <c r="I67" i="28" s="1"/>
  <c r="L8" i="2"/>
  <c r="B65" i="28"/>
  <c r="H65" i="28" s="1"/>
  <c r="I65" i="28" s="1"/>
  <c r="B107" i="28"/>
  <c r="H107" i="28" s="1"/>
  <c r="I107" i="28" s="1"/>
  <c r="H103" i="28"/>
  <c r="P12" i="2"/>
  <c r="B95" i="28"/>
  <c r="H95" i="28" s="1"/>
  <c r="I95" i="28" s="1"/>
  <c r="P11" i="2"/>
  <c r="B94" i="28"/>
  <c r="H94" i="28" s="1"/>
  <c r="I94" i="28" s="1"/>
  <c r="P9" i="2"/>
  <c r="B92" i="28"/>
  <c r="H92" i="28" s="1"/>
  <c r="I92" i="28" s="1"/>
  <c r="H90" i="28"/>
  <c r="N11" i="2"/>
  <c r="B81" i="28"/>
  <c r="H81" i="28" s="1"/>
  <c r="I81" i="28" s="1"/>
  <c r="N9" i="2"/>
  <c r="B79" i="28"/>
  <c r="H79" i="28" s="1"/>
  <c r="I79" i="28" s="1"/>
  <c r="B83" i="28"/>
  <c r="H77" i="28"/>
  <c r="P10" i="2"/>
  <c r="B93" i="28"/>
  <c r="H93" i="28" s="1"/>
  <c r="I93" i="28" s="1"/>
  <c r="L11" i="2"/>
  <c r="B68" i="28"/>
  <c r="H68" i="28" s="1"/>
  <c r="I68" i="28" s="1"/>
  <c r="L9" i="2"/>
  <c r="B66" i="28"/>
  <c r="H66" i="28" s="1"/>
  <c r="I66" i="28" s="1"/>
  <c r="H64" i="28"/>
  <c r="P7" i="2"/>
  <c r="N7" i="2"/>
  <c r="L7" i="2"/>
  <c r="M22" i="2"/>
  <c r="D23" i="2"/>
  <c r="R23" i="2"/>
  <c r="O22" i="2"/>
  <c r="K22" i="2"/>
  <c r="N22" i="2" s="1"/>
  <c r="I22" i="2"/>
  <c r="L22" i="2" s="1"/>
  <c r="P49" i="5"/>
  <c r="P31" i="5"/>
  <c r="O49" i="5"/>
  <c r="O31" i="5"/>
  <c r="N49" i="5"/>
  <c r="N31" i="5"/>
  <c r="M49" i="5"/>
  <c r="M31" i="5"/>
  <c r="P22" i="2" l="1"/>
  <c r="P23" i="34"/>
  <c r="Q23" i="34"/>
  <c r="M50" i="5"/>
  <c r="P50" i="5"/>
  <c r="P15" i="34" s="1"/>
  <c r="N50" i="5"/>
  <c r="L15" i="34" s="1"/>
  <c r="O50" i="5"/>
  <c r="N15" i="34" s="1"/>
  <c r="B70" i="28"/>
  <c r="H83" i="28"/>
  <c r="I83" i="28" s="1"/>
  <c r="L9" i="34" s="1"/>
  <c r="I77" i="28"/>
  <c r="B96" i="28"/>
  <c r="B109" i="28"/>
  <c r="I64" i="28"/>
  <c r="H70" i="28"/>
  <c r="I70" i="28" s="1"/>
  <c r="J9" i="34" s="1"/>
  <c r="M9" i="34" s="1"/>
  <c r="I90" i="28"/>
  <c r="H96" i="28"/>
  <c r="I96" i="28" s="1"/>
  <c r="N9" i="34" s="1"/>
  <c r="I103" i="28"/>
  <c r="H109" i="28"/>
  <c r="I109" i="28" s="1"/>
  <c r="P9" i="34" s="1"/>
  <c r="E14" i="34"/>
  <c r="P26" i="2"/>
  <c r="N26" i="2"/>
  <c r="Q9" i="34" l="1"/>
  <c r="O9" i="34"/>
  <c r="S23" i="34"/>
  <c r="R23" i="34"/>
  <c r="J15" i="34"/>
  <c r="Q15" i="34"/>
  <c r="M15" i="34"/>
  <c r="O15" i="34"/>
  <c r="O10" i="34"/>
  <c r="Q10" i="34"/>
  <c r="N11" i="34"/>
  <c r="P11" i="34"/>
  <c r="L26" i="2"/>
  <c r="Q11" i="34" l="1"/>
  <c r="M10" i="34"/>
  <c r="L11" i="34"/>
  <c r="O11" i="34" l="1"/>
  <c r="D10" i="29" l="1"/>
  <c r="F10" i="29"/>
  <c r="D11" i="29"/>
  <c r="F11" i="29"/>
  <c r="F9" i="29" l="1"/>
  <c r="D9" i="29"/>
  <c r="A2" i="29" l="1"/>
  <c r="A2" i="28" l="1"/>
  <c r="F56" i="28"/>
  <c r="D56" i="28"/>
  <c r="F55" i="28"/>
  <c r="D55" i="28"/>
  <c r="D54" i="28"/>
  <c r="D53" i="28"/>
  <c r="D52" i="28"/>
  <c r="F43" i="28"/>
  <c r="F42" i="28"/>
  <c r="F30" i="28"/>
  <c r="F29" i="28"/>
  <c r="D26" i="28"/>
  <c r="F17" i="28"/>
  <c r="F16" i="28"/>
  <c r="F44" i="28" l="1"/>
  <c r="G57" i="28"/>
  <c r="F18" i="28"/>
  <c r="G31" i="28"/>
  <c r="C57" i="28"/>
  <c r="D57" i="28" s="1"/>
  <c r="D51" i="28"/>
  <c r="J51" i="28"/>
  <c r="K51" i="28" s="1"/>
  <c r="E18" i="28"/>
  <c r="D25" i="28"/>
  <c r="G44" i="28"/>
  <c r="F57" i="28"/>
  <c r="G18" i="28"/>
  <c r="E31" i="28"/>
  <c r="E44" i="28"/>
  <c r="E57" i="28"/>
  <c r="F31" i="28"/>
  <c r="F23" i="21" l="1"/>
  <c r="F22" i="21"/>
  <c r="D23" i="21"/>
  <c r="D22" i="21"/>
  <c r="J49" i="5"/>
  <c r="F49" i="5"/>
  <c r="H34" i="2"/>
  <c r="F34" i="2"/>
  <c r="D34" i="2"/>
  <c r="H32" i="2"/>
  <c r="H31" i="2"/>
  <c r="F32" i="2"/>
  <c r="F31" i="2"/>
  <c r="D32" i="2"/>
  <c r="D31" i="2"/>
  <c r="G23" i="21"/>
  <c r="E23" i="21"/>
  <c r="G22" i="21"/>
  <c r="E22" i="21"/>
  <c r="A2" i="21"/>
  <c r="J31" i="5"/>
  <c r="F31" i="5"/>
  <c r="F15" i="5"/>
  <c r="F14" i="5"/>
  <c r="F13" i="5"/>
  <c r="A2" i="5"/>
  <c r="J11" i="2"/>
  <c r="J12" i="2"/>
  <c r="G13" i="2"/>
  <c r="J13" i="2" s="1"/>
  <c r="G14" i="2"/>
  <c r="J14" i="2" s="1"/>
  <c r="G15" i="2"/>
  <c r="J15" i="2" s="1"/>
  <c r="G16" i="2"/>
  <c r="J16" i="2" s="1"/>
  <c r="G17" i="2"/>
  <c r="J17" i="2" s="1"/>
  <c r="G18" i="2"/>
  <c r="J18" i="2" s="1"/>
  <c r="G19" i="2"/>
  <c r="J19" i="2" s="1"/>
  <c r="G20" i="2"/>
  <c r="J20" i="2" s="1"/>
  <c r="H11" i="2"/>
  <c r="E13" i="2"/>
  <c r="H13" i="2" s="1"/>
  <c r="E15" i="2"/>
  <c r="H15" i="2" s="1"/>
  <c r="E17" i="2"/>
  <c r="H17" i="2" s="1"/>
  <c r="E19" i="2"/>
  <c r="H19" i="2" s="1"/>
  <c r="H12" i="2"/>
  <c r="E14" i="2"/>
  <c r="H14" i="2" s="1"/>
  <c r="E16" i="2"/>
  <c r="H16" i="2" s="1"/>
  <c r="E18" i="2"/>
  <c r="H18" i="2" s="1"/>
  <c r="E20" i="2"/>
  <c r="H20" i="2" s="1"/>
  <c r="F11" i="2"/>
  <c r="F12" i="2"/>
  <c r="C13" i="2"/>
  <c r="F13" i="2" s="1"/>
  <c r="C14" i="2"/>
  <c r="F14" i="2" s="1"/>
  <c r="C16" i="2"/>
  <c r="F16" i="2" s="1"/>
  <c r="C18" i="2"/>
  <c r="F18" i="2" s="1"/>
  <c r="C20" i="2"/>
  <c r="F20" i="2" s="1"/>
  <c r="C15" i="2"/>
  <c r="F15" i="2" s="1"/>
  <c r="C17" i="2"/>
  <c r="F17" i="2" s="1"/>
  <c r="C19" i="2"/>
  <c r="F19" i="2" s="1"/>
  <c r="R9" i="2"/>
  <c r="B13" i="2"/>
  <c r="B14" i="2"/>
  <c r="B15" i="2"/>
  <c r="B16" i="2"/>
  <c r="B17" i="2"/>
  <c r="B18" i="2"/>
  <c r="B19" i="2"/>
  <c r="B20" i="2"/>
  <c r="D108" i="9"/>
  <c r="H108" i="9" s="1"/>
  <c r="G108" i="9"/>
  <c r="D87" i="9"/>
  <c r="G87" i="9"/>
  <c r="H87" i="9"/>
  <c r="G66" i="9"/>
  <c r="D66" i="9"/>
  <c r="H66" i="9"/>
  <c r="D45" i="9"/>
  <c r="H45" i="9" s="1"/>
  <c r="G45" i="9"/>
  <c r="D24" i="9"/>
  <c r="G24" i="9"/>
  <c r="H24" i="9"/>
  <c r="D37" i="9"/>
  <c r="G37" i="9"/>
  <c r="H37" i="9"/>
  <c r="F47" i="9"/>
  <c r="E47" i="9"/>
  <c r="C47" i="9"/>
  <c r="B47" i="9"/>
  <c r="D46" i="9"/>
  <c r="G46" i="9"/>
  <c r="H46" i="9"/>
  <c r="G44" i="9"/>
  <c r="D44" i="9"/>
  <c r="H44" i="9"/>
  <c r="G43" i="9"/>
  <c r="D43" i="9"/>
  <c r="H43" i="9" s="1"/>
  <c r="G42" i="9"/>
  <c r="H42" i="9" s="1"/>
  <c r="D42" i="9"/>
  <c r="G41" i="9"/>
  <c r="D41" i="9"/>
  <c r="H41" i="9" s="1"/>
  <c r="G40" i="9"/>
  <c r="D40" i="9"/>
  <c r="H40" i="9" s="1"/>
  <c r="G39" i="9"/>
  <c r="D39" i="9"/>
  <c r="H39" i="9"/>
  <c r="G38" i="9"/>
  <c r="D38" i="9"/>
  <c r="D47" i="9" s="1"/>
  <c r="G36" i="9"/>
  <c r="D36" i="9"/>
  <c r="G34" i="9"/>
  <c r="D34" i="9"/>
  <c r="H34" i="9"/>
  <c r="G33" i="9"/>
  <c r="D33" i="9"/>
  <c r="G32" i="9"/>
  <c r="G47" i="9" s="1"/>
  <c r="D32" i="9"/>
  <c r="G31" i="9"/>
  <c r="D31" i="9"/>
  <c r="H31" i="9" s="1"/>
  <c r="F110" i="9"/>
  <c r="E110" i="9"/>
  <c r="C110" i="9"/>
  <c r="B110" i="9"/>
  <c r="G109" i="9"/>
  <c r="D109" i="9"/>
  <c r="H109" i="9" s="1"/>
  <c r="G107" i="9"/>
  <c r="D107" i="9"/>
  <c r="H107" i="9" s="1"/>
  <c r="G106" i="9"/>
  <c r="D106" i="9"/>
  <c r="H106" i="9"/>
  <c r="G105" i="9"/>
  <c r="D105" i="9"/>
  <c r="H105" i="9"/>
  <c r="G104" i="9"/>
  <c r="H104" i="9" s="1"/>
  <c r="D104" i="9"/>
  <c r="G103" i="9"/>
  <c r="D103" i="9"/>
  <c r="G102" i="9"/>
  <c r="D102" i="9"/>
  <c r="G101" i="9"/>
  <c r="D101" i="9"/>
  <c r="G100" i="9"/>
  <c r="D100" i="9"/>
  <c r="H100" i="9" s="1"/>
  <c r="G99" i="9"/>
  <c r="G110" i="9" s="1"/>
  <c r="D99" i="9"/>
  <c r="H99" i="9"/>
  <c r="G98" i="9"/>
  <c r="D98" i="9"/>
  <c r="G97" i="9"/>
  <c r="D97" i="9"/>
  <c r="G96" i="9"/>
  <c r="D96" i="9"/>
  <c r="H96" i="9" s="1"/>
  <c r="G95" i="9"/>
  <c r="D95" i="9"/>
  <c r="D110" i="9" s="1"/>
  <c r="G94" i="9"/>
  <c r="D94" i="9"/>
  <c r="F89" i="9"/>
  <c r="E89" i="9"/>
  <c r="C89" i="9"/>
  <c r="B89" i="9"/>
  <c r="G88" i="9"/>
  <c r="D88" i="9"/>
  <c r="H88" i="9"/>
  <c r="G86" i="9"/>
  <c r="D86" i="9"/>
  <c r="H86" i="9" s="1"/>
  <c r="G85" i="9"/>
  <c r="H85" i="9" s="1"/>
  <c r="D85" i="9"/>
  <c r="G84" i="9"/>
  <c r="D84" i="9"/>
  <c r="G83" i="9"/>
  <c r="D83" i="9"/>
  <c r="H83" i="9"/>
  <c r="G82" i="9"/>
  <c r="H82" i="9" s="1"/>
  <c r="D82" i="9"/>
  <c r="G81" i="9"/>
  <c r="D81" i="9"/>
  <c r="H81" i="9"/>
  <c r="G80" i="9"/>
  <c r="D80" i="9"/>
  <c r="G79" i="9"/>
  <c r="D79" i="9"/>
  <c r="H79" i="9"/>
  <c r="G78" i="9"/>
  <c r="D78" i="9"/>
  <c r="H78" i="9" s="1"/>
  <c r="G77" i="9"/>
  <c r="D77" i="9"/>
  <c r="H77" i="9"/>
  <c r="G76" i="9"/>
  <c r="D76" i="9"/>
  <c r="H76" i="9"/>
  <c r="G75" i="9"/>
  <c r="G89" i="9" s="1"/>
  <c r="D75" i="9"/>
  <c r="H75" i="9" s="1"/>
  <c r="G74" i="9"/>
  <c r="H74" i="9" s="1"/>
  <c r="D74" i="9"/>
  <c r="G73" i="9"/>
  <c r="D73" i="9"/>
  <c r="G56" i="9"/>
  <c r="D56" i="9"/>
  <c r="H56" i="9"/>
  <c r="F68" i="9"/>
  <c r="E68" i="9"/>
  <c r="C68" i="9"/>
  <c r="B68" i="9"/>
  <c r="G67" i="9"/>
  <c r="D67" i="9"/>
  <c r="G65" i="9"/>
  <c r="D65" i="9"/>
  <c r="H65" i="9" s="1"/>
  <c r="G64" i="9"/>
  <c r="D64" i="9"/>
  <c r="H64" i="9"/>
  <c r="G63" i="9"/>
  <c r="H63" i="9" s="1"/>
  <c r="D63" i="9"/>
  <c r="G62" i="9"/>
  <c r="D62" i="9"/>
  <c r="H62" i="9" s="1"/>
  <c r="G61" i="9"/>
  <c r="D61" i="9"/>
  <c r="H61" i="9" s="1"/>
  <c r="G60" i="9"/>
  <c r="D60" i="9"/>
  <c r="H60" i="9" s="1"/>
  <c r="G59" i="9"/>
  <c r="D59" i="9"/>
  <c r="H59" i="9" s="1"/>
  <c r="G58" i="9"/>
  <c r="D58" i="9"/>
  <c r="H58" i="9" s="1"/>
  <c r="G57" i="9"/>
  <c r="D57" i="9"/>
  <c r="H57" i="9" s="1"/>
  <c r="G55" i="9"/>
  <c r="D55" i="9"/>
  <c r="G54" i="9"/>
  <c r="D54" i="9"/>
  <c r="G53" i="9"/>
  <c r="D53" i="9"/>
  <c r="D68" i="9" s="1"/>
  <c r="G52" i="9"/>
  <c r="G68" i="9" s="1"/>
  <c r="D52" i="9"/>
  <c r="F26" i="9"/>
  <c r="E26" i="9"/>
  <c r="C26" i="9"/>
  <c r="B26" i="9"/>
  <c r="H54" i="9"/>
  <c r="H97" i="9"/>
  <c r="H33" i="9"/>
  <c r="H32" i="9"/>
  <c r="H36" i="9"/>
  <c r="H103" i="9"/>
  <c r="H67" i="9"/>
  <c r="H73" i="9"/>
  <c r="H94" i="9"/>
  <c r="H101" i="9"/>
  <c r="H55" i="9"/>
  <c r="H80" i="9"/>
  <c r="H98" i="9"/>
  <c r="H84" i="9"/>
  <c r="H102" i="9"/>
  <c r="H95" i="9"/>
  <c r="H52" i="9"/>
  <c r="G10" i="9"/>
  <c r="D10" i="9"/>
  <c r="H10" i="9"/>
  <c r="G25" i="9"/>
  <c r="D25" i="9"/>
  <c r="G23" i="9"/>
  <c r="D23" i="9"/>
  <c r="G22" i="9"/>
  <c r="H22" i="9" s="1"/>
  <c r="D22" i="9"/>
  <c r="G21" i="9"/>
  <c r="D21" i="9"/>
  <c r="H21" i="9"/>
  <c r="G20" i="9"/>
  <c r="D20" i="9"/>
  <c r="G19" i="9"/>
  <c r="D19" i="9"/>
  <c r="G18" i="9"/>
  <c r="D18" i="9"/>
  <c r="H18" i="9" s="1"/>
  <c r="G17" i="9"/>
  <c r="D17" i="9"/>
  <c r="H17" i="9"/>
  <c r="G15" i="9"/>
  <c r="D15" i="9"/>
  <c r="G13" i="9"/>
  <c r="D13" i="9"/>
  <c r="D26" i="9" s="1"/>
  <c r="G12" i="9"/>
  <c r="H12" i="9" s="1"/>
  <c r="D12" i="9"/>
  <c r="G11" i="9"/>
  <c r="G26" i="9" s="1"/>
  <c r="D11" i="9"/>
  <c r="H11" i="9" s="1"/>
  <c r="H15" i="9"/>
  <c r="H20" i="9"/>
  <c r="H25" i="9"/>
  <c r="H13" i="9"/>
  <c r="H19" i="9"/>
  <c r="H23" i="9"/>
  <c r="A1" i="9"/>
  <c r="A2" i="9"/>
  <c r="A2" i="2"/>
  <c r="D24" i="21" l="1"/>
  <c r="E24" i="21"/>
  <c r="G24" i="21"/>
  <c r="F50" i="5"/>
  <c r="F16" i="34" s="1"/>
  <c r="L50" i="5"/>
  <c r="J50" i="5"/>
  <c r="H16" i="34" s="1"/>
  <c r="J16" i="34" s="1"/>
  <c r="E12" i="5"/>
  <c r="F8" i="34"/>
  <c r="G8" i="34" s="1"/>
  <c r="F7" i="2"/>
  <c r="R7" i="2"/>
  <c r="H7" i="2"/>
  <c r="J7" i="2"/>
  <c r="D20" i="2"/>
  <c r="R20" i="2"/>
  <c r="D12" i="2"/>
  <c r="R12" i="2"/>
  <c r="D19" i="2"/>
  <c r="R19" i="2"/>
  <c r="D10" i="2"/>
  <c r="R10" i="2"/>
  <c r="D17" i="2"/>
  <c r="R17" i="2"/>
  <c r="D11" i="2"/>
  <c r="R11" i="2"/>
  <c r="D18" i="2"/>
  <c r="R18" i="2"/>
  <c r="D16" i="2"/>
  <c r="R16" i="2"/>
  <c r="D8" i="2"/>
  <c r="R8" i="2"/>
  <c r="D14" i="2"/>
  <c r="R14" i="2"/>
  <c r="D15" i="2"/>
  <c r="R15" i="2"/>
  <c r="D13" i="2"/>
  <c r="R13" i="2"/>
  <c r="B41" i="28"/>
  <c r="H41" i="28" s="1"/>
  <c r="I41" i="28" s="1"/>
  <c r="H10" i="2"/>
  <c r="B52" i="28"/>
  <c r="H52" i="28" s="1"/>
  <c r="I52" i="28" s="1"/>
  <c r="J8" i="2"/>
  <c r="B28" i="28"/>
  <c r="H28" i="28" s="1"/>
  <c r="I28" i="28" s="1"/>
  <c r="F10" i="2"/>
  <c r="B39" i="28"/>
  <c r="H39" i="28" s="1"/>
  <c r="I39" i="28" s="1"/>
  <c r="H8" i="2"/>
  <c r="B26" i="28"/>
  <c r="H26" i="28" s="1"/>
  <c r="I26" i="28" s="1"/>
  <c r="F8" i="2"/>
  <c r="B27" i="28"/>
  <c r="F9" i="2"/>
  <c r="B54" i="28"/>
  <c r="H54" i="28" s="1"/>
  <c r="I54" i="28" s="1"/>
  <c r="J10" i="2"/>
  <c r="B53" i="28"/>
  <c r="H53" i="28" s="1"/>
  <c r="I53" i="28" s="1"/>
  <c r="J9" i="2"/>
  <c r="B40" i="28"/>
  <c r="H9" i="2"/>
  <c r="B14" i="28"/>
  <c r="D9" i="2"/>
  <c r="B13" i="28"/>
  <c r="H13" i="28" s="1"/>
  <c r="I13" i="28" s="1"/>
  <c r="B12" i="28"/>
  <c r="D7" i="2"/>
  <c r="E22" i="2"/>
  <c r="G22" i="2"/>
  <c r="J22" i="2" s="1"/>
  <c r="B15" i="28"/>
  <c r="H15" i="28" s="1"/>
  <c r="I15" i="28" s="1"/>
  <c r="B21" i="2"/>
  <c r="Q15" i="2" s="1"/>
  <c r="B22" i="2"/>
  <c r="Q16" i="2" s="1"/>
  <c r="G21" i="2"/>
  <c r="J21" i="2" s="1"/>
  <c r="E21" i="2"/>
  <c r="H21" i="2" s="1"/>
  <c r="C22" i="2"/>
  <c r="F22" i="2" s="1"/>
  <c r="C21" i="2"/>
  <c r="F21" i="2" s="1"/>
  <c r="H26" i="9"/>
  <c r="H110" i="9"/>
  <c r="H89" i="9"/>
  <c r="D89" i="9"/>
  <c r="H53" i="9"/>
  <c r="H68" i="9" s="1"/>
  <c r="H38" i="9"/>
  <c r="H47" i="9" s="1"/>
  <c r="F24" i="21"/>
  <c r="I14" i="5"/>
  <c r="I15" i="5"/>
  <c r="B51" i="28"/>
  <c r="H51" i="28" s="1"/>
  <c r="I51" i="28" s="1"/>
  <c r="C33" i="2"/>
  <c r="B38" i="28"/>
  <c r="B25" i="28"/>
  <c r="H25" i="28" s="1"/>
  <c r="I25" i="28" s="1"/>
  <c r="G33" i="2"/>
  <c r="B29" i="28"/>
  <c r="H29" i="28" s="1"/>
  <c r="I29" i="28" s="1"/>
  <c r="B17" i="28"/>
  <c r="H17" i="28" s="1"/>
  <c r="I17" i="28" s="1"/>
  <c r="B56" i="28"/>
  <c r="H56" i="28" s="1"/>
  <c r="I56" i="28" s="1"/>
  <c r="E33" i="2"/>
  <c r="H33" i="2" s="1"/>
  <c r="B30" i="28"/>
  <c r="B42" i="28"/>
  <c r="H42" i="28" s="1"/>
  <c r="I42" i="28" s="1"/>
  <c r="B16" i="28"/>
  <c r="B43" i="28"/>
  <c r="B55" i="28"/>
  <c r="H55" i="28" s="1"/>
  <c r="I55" i="28" s="1"/>
  <c r="B33" i="2"/>
  <c r="D33" i="2" s="1"/>
  <c r="E14" i="5"/>
  <c r="I13" i="5"/>
  <c r="I31" i="5"/>
  <c r="E49" i="5"/>
  <c r="E15" i="5"/>
  <c r="H6" i="5" s="1"/>
  <c r="E13" i="5"/>
  <c r="E31" i="5"/>
  <c r="I12" i="5"/>
  <c r="I49" i="5"/>
  <c r="H38" i="28" l="1"/>
  <c r="I38" i="28" s="1"/>
  <c r="C38" i="28"/>
  <c r="D38" i="28" s="1"/>
  <c r="C39" i="28"/>
  <c r="D39" i="28" s="1"/>
  <c r="H40" i="28"/>
  <c r="I40" i="28" s="1"/>
  <c r="C41" i="28"/>
  <c r="D41" i="28" s="1"/>
  <c r="C40" i="28"/>
  <c r="D40" i="28" s="1"/>
  <c r="H43" i="28"/>
  <c r="I43" i="28" s="1"/>
  <c r="C43" i="28"/>
  <c r="D43" i="28" s="1"/>
  <c r="C42" i="28"/>
  <c r="H30" i="28"/>
  <c r="I30" i="28" s="1"/>
  <c r="C30" i="28"/>
  <c r="D30" i="28" s="1"/>
  <c r="C29" i="28"/>
  <c r="D29" i="28" s="1"/>
  <c r="F33" i="2"/>
  <c r="H16" i="28"/>
  <c r="I16" i="28" s="1"/>
  <c r="C17" i="28"/>
  <c r="D17" i="28" s="1"/>
  <c r="C16" i="28"/>
  <c r="D16" i="28" s="1"/>
  <c r="L6" i="5"/>
  <c r="H22" i="2"/>
  <c r="H27" i="28"/>
  <c r="I27" i="28" s="1"/>
  <c r="C28" i="28"/>
  <c r="D28" i="28" s="1"/>
  <c r="C27" i="28"/>
  <c r="L16" i="34"/>
  <c r="J14" i="34"/>
  <c r="I16" i="34"/>
  <c r="P8" i="34"/>
  <c r="R8" i="34" s="1"/>
  <c r="S8" i="34" s="1"/>
  <c r="N8" i="34"/>
  <c r="L8" i="34"/>
  <c r="J8" i="34"/>
  <c r="H14" i="28"/>
  <c r="I14" i="28" s="1"/>
  <c r="C15" i="28"/>
  <c r="D15" i="28" s="1"/>
  <c r="C14" i="28"/>
  <c r="D14" i="28" s="1"/>
  <c r="H12" i="28"/>
  <c r="I12" i="28" s="1"/>
  <c r="C13" i="28"/>
  <c r="D13" i="28" s="1"/>
  <c r="C12" i="28"/>
  <c r="H8" i="34"/>
  <c r="E50" i="5"/>
  <c r="F15" i="34" s="1"/>
  <c r="I50" i="5"/>
  <c r="H15" i="34" s="1"/>
  <c r="H14" i="34" s="1"/>
  <c r="D22" i="2"/>
  <c r="R22" i="2"/>
  <c r="D21" i="2"/>
  <c r="R21" i="2"/>
  <c r="R26" i="2"/>
  <c r="B18" i="28"/>
  <c r="B31" i="28"/>
  <c r="B44" i="28"/>
  <c r="H44" i="28"/>
  <c r="I44" i="28" s="1"/>
  <c r="F9" i="34" s="1"/>
  <c r="H18" i="28"/>
  <c r="I18" i="28" s="1"/>
  <c r="C9" i="34" s="1"/>
  <c r="R9" i="34" s="1"/>
  <c r="S9" i="34" s="1"/>
  <c r="H57" i="28"/>
  <c r="I57" i="28" s="1"/>
  <c r="H9" i="34" s="1"/>
  <c r="K9" i="34" s="1"/>
  <c r="H31" i="28"/>
  <c r="I31" i="28" s="1"/>
  <c r="D9" i="34" s="1"/>
  <c r="G9" i="34" s="1"/>
  <c r="B57" i="28"/>
  <c r="D42" i="28" l="1"/>
  <c r="J38" i="28"/>
  <c r="K38" i="28" s="1"/>
  <c r="C44" i="28"/>
  <c r="D44" i="28" s="1"/>
  <c r="I9" i="34"/>
  <c r="C31" i="28"/>
  <c r="D31" i="28" s="1"/>
  <c r="J25" i="28"/>
  <c r="K25" i="28" s="1"/>
  <c r="D27" i="28"/>
  <c r="N16" i="34"/>
  <c r="L14" i="34"/>
  <c r="J12" i="28"/>
  <c r="K12" i="28" s="1"/>
  <c r="D12" i="28"/>
  <c r="C18" i="28"/>
  <c r="D18" i="28" s="1"/>
  <c r="R15" i="34"/>
  <c r="F14" i="34"/>
  <c r="G14" i="34" s="1"/>
  <c r="J12" i="34"/>
  <c r="M8" i="34"/>
  <c r="J13" i="34"/>
  <c r="L12" i="34"/>
  <c r="L13" i="34"/>
  <c r="O8" i="34"/>
  <c r="P13" i="34"/>
  <c r="R13" i="34" s="1"/>
  <c r="S13" i="34" s="1"/>
  <c r="P12" i="34"/>
  <c r="R12" i="34" s="1"/>
  <c r="S12" i="34" s="1"/>
  <c r="N13" i="34"/>
  <c r="Q13" i="34" s="1"/>
  <c r="Q8" i="34"/>
  <c r="N12" i="34"/>
  <c r="Q12" i="34" s="1"/>
  <c r="H13" i="34"/>
  <c r="K13" i="34" s="1"/>
  <c r="H12" i="34"/>
  <c r="K12" i="34" s="1"/>
  <c r="K8" i="34"/>
  <c r="F13" i="34"/>
  <c r="I8" i="34"/>
  <c r="F12" i="34"/>
  <c r="K15" i="34"/>
  <c r="I15" i="34"/>
  <c r="E9" i="34"/>
  <c r="D26" i="2"/>
  <c r="G10" i="34"/>
  <c r="H26" i="2"/>
  <c r="K10" i="34"/>
  <c r="J11" i="34"/>
  <c r="J26" i="2"/>
  <c r="F26" i="2"/>
  <c r="I13" i="34" l="1"/>
  <c r="G13" i="34"/>
  <c r="P16" i="34"/>
  <c r="P14" i="34" s="1"/>
  <c r="R14" i="34" s="1"/>
  <c r="S14" i="34" s="1"/>
  <c r="N14" i="34"/>
  <c r="O13" i="34"/>
  <c r="O12" i="34"/>
  <c r="M13" i="34"/>
  <c r="M12" i="34"/>
  <c r="I12" i="34"/>
  <c r="G12" i="34"/>
  <c r="F17" i="34"/>
  <c r="G17" i="34" s="1"/>
  <c r="I14" i="34"/>
  <c r="M11" i="34"/>
  <c r="H11" i="34"/>
  <c r="D11" i="34"/>
  <c r="E10" i="34"/>
  <c r="I10" i="34"/>
  <c r="F11" i="34"/>
  <c r="G11" i="34" l="1"/>
  <c r="R11" i="34"/>
  <c r="F18" i="34"/>
  <c r="H17" i="34"/>
  <c r="H18" i="34" s="1"/>
  <c r="I18" i="34"/>
  <c r="K14" i="34"/>
  <c r="K11" i="34"/>
  <c r="I11" i="34"/>
  <c r="H24" i="34" l="1"/>
  <c r="H35" i="34"/>
  <c r="K35" i="34" s="1"/>
  <c r="F24" i="34"/>
  <c r="F35" i="34"/>
  <c r="I35" i="34" s="1"/>
  <c r="H36" i="34"/>
  <c r="H25" i="34"/>
  <c r="F36" i="34"/>
  <c r="F25" i="34"/>
  <c r="H34" i="34"/>
  <c r="K34" i="34" s="1"/>
  <c r="G18" i="34"/>
  <c r="F34" i="34"/>
  <c r="I34" i="34" s="1"/>
  <c r="J17" i="34"/>
  <c r="M14" i="34"/>
  <c r="I17" i="34"/>
  <c r="K17" i="34"/>
  <c r="I24" i="34" l="1"/>
  <c r="G24" i="34"/>
  <c r="I25" i="34"/>
  <c r="G25" i="34"/>
  <c r="K36" i="34"/>
  <c r="H37" i="34"/>
  <c r="I36" i="34"/>
  <c r="F37" i="34"/>
  <c r="L17" i="34"/>
  <c r="M17" i="34"/>
  <c r="J18" i="34"/>
  <c r="O14" i="34"/>
  <c r="J24" i="34" l="1"/>
  <c r="J35" i="34"/>
  <c r="M35" i="34" s="1"/>
  <c r="I37" i="34"/>
  <c r="G37" i="34"/>
  <c r="K18" i="34"/>
  <c r="J36" i="34"/>
  <c r="J25" i="34"/>
  <c r="J34" i="34"/>
  <c r="M34" i="34" s="1"/>
  <c r="N17" i="34"/>
  <c r="O17" i="34" s="1"/>
  <c r="L18" i="34"/>
  <c r="Q14" i="34"/>
  <c r="L24" i="34" l="1"/>
  <c r="L35" i="34"/>
  <c r="O35" i="34" s="1"/>
  <c r="M24" i="34"/>
  <c r="K24" i="34"/>
  <c r="K25" i="34"/>
  <c r="M36" i="34"/>
  <c r="J37" i="34"/>
  <c r="L34" i="34"/>
  <c r="O34" i="34" s="1"/>
  <c r="M18" i="34"/>
  <c r="L36" i="34"/>
  <c r="L25" i="34"/>
  <c r="P17" i="34"/>
  <c r="Q17" i="34"/>
  <c r="N18" i="34"/>
  <c r="N24" i="34" l="1"/>
  <c r="N35" i="34"/>
  <c r="Q35" i="34" s="1"/>
  <c r="O24" i="34"/>
  <c r="K37" i="34"/>
  <c r="M25" i="34"/>
  <c r="N36" i="34"/>
  <c r="N25" i="34"/>
  <c r="N34" i="34"/>
  <c r="Q34" i="34" s="1"/>
  <c r="P18" i="34"/>
  <c r="R17" i="34"/>
  <c r="S17" i="34" s="1"/>
  <c r="O36" i="34"/>
  <c r="L37" i="34"/>
  <c r="O18" i="34"/>
  <c r="P35" i="34" l="1"/>
  <c r="P24" i="34"/>
  <c r="Q24" i="34"/>
  <c r="M37" i="34"/>
  <c r="O25" i="34"/>
  <c r="P36" i="34"/>
  <c r="P37" i="34" s="1"/>
  <c r="P25" i="34"/>
  <c r="Q36" i="34"/>
  <c r="N37" i="34"/>
  <c r="P34" i="34"/>
  <c r="R18" i="34"/>
  <c r="S18" i="34" s="1"/>
  <c r="Q18" i="34"/>
  <c r="S24" i="34" l="1"/>
  <c r="R24" i="34"/>
  <c r="Q37" i="34"/>
  <c r="O37" i="34"/>
  <c r="S37" i="34"/>
  <c r="R37" i="34"/>
  <c r="S25" i="34"/>
  <c r="R25" i="34"/>
  <c r="Q25" i="34"/>
</calcChain>
</file>

<file path=xl/sharedStrings.xml><?xml version="1.0" encoding="utf-8"?>
<sst xmlns="http://schemas.openxmlformats.org/spreadsheetml/2006/main" count="744" uniqueCount="373">
  <si>
    <t xml:space="preserve">INSTRUCTIONS FOR SUBMITTING 2023 INSTITUTIONAL SIX-YEAR PLAN </t>
  </si>
  <si>
    <t>Due Date: July 17, 2023</t>
  </si>
  <si>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</si>
  <si>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</si>
  <si>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</si>
  <si>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2023 Six-Year Plan Format</t>
  </si>
  <si>
    <r>
      <t xml:space="preserve">The 2023 Six-Year Plan consists of a workbook and an accompanying narrative.  The workbook has an Instructions page, Institution ID page and eight parts/worksheets: Enrollment, Undergraduate Tuition and Fee Increase Rates, Revenue, Financial Aid, Academic-Financial, General Fund (GF) Request, and Pro Forma.  </t>
    </r>
    <r>
      <rPr>
        <b/>
        <sz val="11"/>
        <rFont val="Arial"/>
        <family val="2"/>
      </rPr>
      <t>Note: Shaded cells contain formulas.</t>
    </r>
    <r>
      <rPr>
        <sz val="11"/>
        <rFont val="Arial"/>
        <family val="2"/>
      </rPr>
      <t xml:space="preserve"> Instructions for the narrative are provided in a separate attachment.  Though the Enrollment/Degree Projections are being developed in a separate process, institutions are required to provide a summary of enrollment projections in Tab 1 so they can be considered as part of the six-year planning process alongside the financial projections and pro forma analysis. </t>
    </r>
  </si>
  <si>
    <r>
      <t xml:space="preserve">The 2023 Six-Year Plans are due July 17, 2023.  The review group (referred to as Op Six) as outlined in § 23.1-306 - see Legislative Reference section below - will meet with each institution in August to review the institution's plan and provide comments. If changes to the plans are recommended, revised institutional submissions are </t>
    </r>
    <r>
      <rPr>
        <sz val="11"/>
        <color theme="1"/>
        <rFont val="Arial"/>
        <family val="2"/>
      </rPr>
      <t>due no later than October 1 or immediately following an institution's Board of Visitors' meeting, if it is later than October 1.</t>
    </r>
  </si>
  <si>
    <t>INSTRUCTIONS FOR SECTIONS</t>
  </si>
  <si>
    <t>1. Undergraduate Tuition and Fee Increase Rate Plan</t>
  </si>
  <si>
    <t>Provide annual planned increases in undergraduate tuition and mandatory E&amp;G fees and mandatory non-E&amp;G fees for both in-state and out-of-state students in 2024-26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</si>
  <si>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2. Revenue</t>
  </si>
  <si>
    <r>
      <rPr>
        <u/>
        <sz val="11"/>
        <rFont val="Arial"/>
        <family val="2"/>
      </rPr>
      <t>For FY2023- FY2026</t>
    </r>
    <r>
      <rPr>
        <sz val="11"/>
        <rFont val="Arial"/>
        <family val="2"/>
      </rPr>
      <t>: Based on assumptions of no new general fund, enrollment changes and other institution-specific conditions, provide total collected or projected to collect revenues (after discounts and waivers)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 In line 25, enter E&amp;G GF revenues for the current bienium. The formulas will automatically hold that constant for the remaining years.</t>
    </r>
  </si>
  <si>
    <r>
      <rPr>
        <u/>
        <sz val="11"/>
        <rFont val="Arial"/>
        <family val="2"/>
      </rPr>
      <t>For 2027-FY2030</t>
    </r>
    <r>
      <rPr>
        <sz val="11"/>
        <rFont val="Arial"/>
        <family val="2"/>
      </rPr>
      <t>: Provide a pro forma analysis of total tuition revenue in years 2026-2030 by holding T&amp;F constant at the planned 2025-26 rate while incorporating your institution's submitted enrollment projections for each year through 2030. These columns are NOT meant to be a projection and do NOT make any assumption about GF support. The calculations will be used to support the pro forma analysis in tab 5.</t>
    </r>
  </si>
  <si>
    <t>3. Financial Aid</t>
  </si>
  <si>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"Other Discounts and Waiver" means the totals of any unfunded full or partial tuition waiver reducing the students' charges, including Virginia Military Survivors and Dependent Education Program and the Senior Citizens Tuition Waiver. Do not include the tuition differential for the tuition exceptions. Note:  If you do not have actual amounts for Tuition Revenue for Financial Aid by student category, please provide an estimate.  If values are not distributed for Tuition Revenue for Financial Aid, a distribution may be calculated for your institution.  </t>
  </si>
  <si>
    <t>4. Academic-Financial Plan</t>
  </si>
  <si>
    <t xml:space="preserve">Instructions: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and other expenditure increases. Provide a concise description in the "Notes" column (column O), including a % increase where relevant and a specific reference as to where more detailed information can be found in the Narrative document.
Complete the lines appropriate to your institution, adding lines within the relevant categories as needed. As completely as possible, the items should represent a complete picture of your anticipated use of projected tuition revenues and strategic focus areas. Categories are listed in bold; you may not change the categories but you may add lines where indicated. Please update total cost formulas if necessary. For every line, the total amount and the sum of the reallocation and tuition revenue (and GF when indicated) should equal one another. 
Funding amounts in the first year should be incremental. However, if the costs continue into the second year and beyond, they should be reflected cumulatively (i.e. cost increases vs. 2023-24). Please update total cost formulas if necessary. Institutions should assume no general fund (GF) support in 2024-26 in this worksheet other than for salaries, health insurance and VITA charges per the instructions below. A separate worksheet (Part 6) is provided for institutions to request additional GF support for 2024-26. Strategies for student financial aid, other than those that are provided through tuition revenue, should not be included on this table; they should be included in Part 6, General Fund Request, of the plan.
Also, given the long standing practice that agencies should not assume general fund support for operation and maintenance (O&amp;M) of new facilities, O&amp;M strategies should not be included in an institution's plan, unless they are completely supported by tuition revenue.
Lines 5 and 6 are newly added to collect the estimated E&amp;G expenditures of 2022-23 and 2023-24 as baselines for Tab 5 Pro Forma.     </t>
  </si>
  <si>
    <t>For the 2026-28 bienium and 2028-2030 bienium, total amounts should be provided as estimates of future expenditures on these items but delineation of reallocation vs. tuition revenue vs. GF does not need to be provided by the institution.
Funding amounts shall assume an annual 2% salary increase for each year from FY2025 to FY2030 for those employees eligible for the state-supported salary increases in the 2022-2024 biennium. Funding amounts shall also assume an annual 3% health insurance increase and a 5.36% VITA cost increase. Institutions shall calculate the GF portion of these increases in columns H and L using the appropriate fund share, which can be found in Tab 4b. If an institution plans to use its own funds to provide additional salary increases, add lines below the "increased fringe benefits costs" and specify salary amount by employee type and associated fringe benefit costs, but do not put any dollar amount in Columns H and L.
NOTE: In light of ongoing budget negotiations, please complete the template assuming only what has already been signed into law as the baseline 2022-23 and 2023-24 appropriation. In the event that a new budget results in additional funding for institutions in 2023-24, OpSix will provide guidance at that time on whether and how to modify or resubmit plans.</t>
  </si>
  <si>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</si>
  <si>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rPr>
        <sz val="12"/>
        <color rgb="FF000000"/>
        <rFont val="Arial"/>
        <family val="2"/>
      </rPr>
      <t xml:space="preserve">The Virginia Plan has three major goals (please refer to the Plan at </t>
    </r>
    <r>
      <rPr>
        <b/>
        <sz val="12"/>
        <color rgb="FF000000"/>
        <rFont val="Arial"/>
        <family val="2"/>
      </rPr>
      <t>https://www.schev.edu/research-publications/strategic-plan</t>
    </r>
    <r>
      <rPr>
        <sz val="12"/>
        <color rgb="FF000000"/>
        <rFont val="Arial"/>
        <family val="2"/>
      </rPr>
      <t xml:space="preserve"> for more information about the strategies under each goal):</t>
    </r>
  </si>
  <si>
    <t>GOAL 1 EQUITABLE: CLOSE ACCESS AND COMPLETION GAPS.</t>
  </si>
  <si>
    <t>GOAL 2 AFFORDABLE: LOWER COSTS TO STUDENTS.</t>
  </si>
  <si>
    <t>GOAL 3 TRANSFORMATIVE: EXPAND PROSPERITY.</t>
  </si>
  <si>
    <t>5. Six-Year Pro Forma Calculations</t>
  </si>
  <si>
    <t>Instructions: No new data needs to be added on this tab; it is entirely comprised by formulas. The top section pulls in data from the previous tabs to calculate a pro forma budget surplus/deficit for the 6 years. The following section calculates what T&amp;F (price) and GF increases would theoretically need to occur each year in order to cover the deficit and maintain the 2022-23 GF/NGF split. At the bottom is a blended scenario calculator that a user can leverage to calculate custom "shared" scenarios where deficits can be covered by a combination of expenditure reduction, T&amp;F increases, and GF increases. Cells D28:30 should be set by the user (so long as they add up to 100%) and the results will flow into the rows below that automatically. This analysis is intended to be directional and pro forma; it is not intended to be interpreted as a projection or plan/budget of any kind.
Note: this pro forma does not include any of the additional GF requests in the following tab; those requests would require GF funding on top of what is calculated in this tab. It does account for the salary/health insurance/VITA increases from tab 4, including the corresponding GF increases.</t>
  </si>
  <si>
    <t>6. General Fund (GF) Request</t>
  </si>
  <si>
    <t>Instructions: Indicate items for which you anticipate making a request for state general fund in the 2024-26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4 and place it in bold print to draw attention to its connection to Part 6. Also, describe in the Notes column how additional general fund will enhance or expand the strategy. Requests for need-based financial aid appropriated in program 108 should be included here. If additional rows are added, please update the total costs formulas.
NOTE: In light of ongoing budget negotiations, please complete the template assuming only what has already been signed into law as the baseline 2022-23 and 2023-24 appropriation. In the event that a new budget results in additional funding for institutions in 2023-24, OpSix will provide guidance at that time on whether and how to modify or resubmit plans.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</si>
  <si>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</si>
  <si>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</si>
  <si>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</si>
  <si>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t>Contacts for Questions:</t>
  </si>
  <si>
    <t xml:space="preserve">General Questions - Thomas Allison (tomallison@schev.edu) </t>
  </si>
  <si>
    <t>Academic - Joe DeFilippo (joedefilippo@schev.edu)</t>
  </si>
  <si>
    <t>Finance - Yan Zheng (yanzheng@schev.edu)</t>
  </si>
  <si>
    <t>Financial Aid - Lee Andes (leeandes@schev.edu)</t>
  </si>
  <si>
    <t>Enrollment/Degree Projections - Tod Massa (todmassa@schev.edu)</t>
  </si>
  <si>
    <t>Legislative Reference:</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</si>
  <si>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</si>
  <si>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</si>
  <si>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</si>
  <si>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</si>
  <si>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</si>
  <si>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</si>
  <si>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</si>
  <si>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</si>
  <si>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</si>
  <si>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</si>
  <si>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</si>
  <si>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</si>
  <si>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</si>
  <si>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</si>
  <si>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</si>
  <si>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</si>
  <si>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</si>
  <si>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</si>
  <si>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</si>
  <si>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</si>
  <si>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</si>
  <si>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</si>
  <si>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</si>
  <si>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Six-Year Plans (2023): 2024-25 through 2029-30</t>
  </si>
  <si>
    <t>Due: July 15, 2023</t>
  </si>
  <si>
    <t>Institution:</t>
  </si>
  <si>
    <t>William &amp; Mary</t>
  </si>
  <si>
    <t>Institution UNITID:</t>
  </si>
  <si>
    <t>204</t>
  </si>
  <si>
    <t>Individual responsible for plan</t>
  </si>
  <si>
    <t>Name(s) &amp; Title(s):</t>
  </si>
  <si>
    <t>Jacob Long, AVP Budget &amp; Financial Planning</t>
  </si>
  <si>
    <t>Email address(es):</t>
  </si>
  <si>
    <t>jplong01@wm.edu</t>
  </si>
  <si>
    <t>Telephone number(s):</t>
  </si>
  <si>
    <t>757-221-2516</t>
  </si>
  <si>
    <t>Part 1: Undergraduate Tuition and Mandatory Fee Increase Plans in 2024-26 Biennium</t>
  </si>
  <si>
    <r>
      <t>Instructions:</t>
    </r>
    <r>
      <rPr>
        <i/>
        <sz val="12"/>
        <color theme="1"/>
        <rFont val="Arial"/>
        <family val="2"/>
      </rPr>
      <t xml:space="preserve"> Provide annual planned increases in undergraduate tuition and mandatory E&amp;G fees and mandatory non-E&amp;G fees for both in-state and out-of-state students in 2024-26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</si>
  <si>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Undergraduate Tuition and Mandatory Fees</t>
  </si>
  <si>
    <t>2023-24</t>
  </si>
  <si>
    <t>2024-25</t>
  </si>
  <si>
    <t>2025-26</t>
  </si>
  <si>
    <t>Charge (BOV approved)</t>
  </si>
  <si>
    <t>Planned Charge</t>
  </si>
  <si>
    <t>% Increase</t>
  </si>
  <si>
    <t>In-State UG Tuition</t>
  </si>
  <si>
    <t>In-State UG Mandatory E&amp;G Fees</t>
  </si>
  <si>
    <t>In-State UG Mandatory non-E&amp;G Fees</t>
  </si>
  <si>
    <t>In-State UG Total</t>
  </si>
  <si>
    <t>Out-of-State UG Tuition</t>
  </si>
  <si>
    <t>Out-of-State UG Mandatory E&amp;G Fees</t>
  </si>
  <si>
    <t>Out-of-State UG Mandatory non-E&amp;G Fees</t>
  </si>
  <si>
    <t>Out-of-State UG Total</t>
  </si>
  <si>
    <t>Part 2: Revenue: 2022-23 through 2029-30</t>
  </si>
  <si>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
In line 25, enter E&amp;G GF revenues for the current bienium. The formulas will automatically hold that constant for the remaining years.
NOTE: In light of ongoing budget negotiations, please complete the template assuming only what has already been signed into law as the baseline 2022-23 and 2023-24 appropriation. In the event that a new budget results in additional funding for institutions in 2023-24, OpSix will provide guidance at that time on whether and how to modify or resubmit plans.</t>
    </r>
  </si>
  <si>
    <t>Instructions: Provide a pro forma analysis of total tuition revenue in years 2026-2030 by holding T&amp;F constant at the planned 2025-26 rate while incorporating your institution's submitted enrollment projections for each year through 2030. These columns are NOT meant to be a projection and do NOT make any assumption about GF support. The calculations will be used to support the pro forma analysis in tab 5.</t>
  </si>
  <si>
    <t xml:space="preserve">Items </t>
  </si>
  <si>
    <t>2022-2023 (Actual)</t>
  </si>
  <si>
    <t>2023-2024 (Estimated)</t>
  </si>
  <si>
    <t>2024-2025 (Planned)</t>
  </si>
  <si>
    <t>2025-2026 (Planned)</t>
  </si>
  <si>
    <t>2026-2027 (Pro Forma)</t>
  </si>
  <si>
    <t>2027-2028 (Pro Forma)</t>
  </si>
  <si>
    <t>2028-2029 (Pro Forma)</t>
  </si>
  <si>
    <t>2029-2030 (Pro Forma)</t>
  </si>
  <si>
    <t>Total Collected Tuition Revenue</t>
  </si>
  <si>
    <t>Chg</t>
  </si>
  <si>
    <t>Total Projected Tuition Revenue</t>
  </si>
  <si>
    <t>Total Calculated Tuition Revenue</t>
  </si>
  <si>
    <t>2022-2030 Chg</t>
  </si>
  <si>
    <t>CAGR</t>
  </si>
  <si>
    <t>E&amp;G Programs</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</si>
  <si>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</si>
  <si>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</si>
  <si>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</si>
  <si>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</si>
  <si>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</si>
  <si>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</si>
  <si>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</si>
  <si>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</si>
  <si>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</si>
  <si>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</si>
  <si>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</si>
  <si>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</si>
  <si>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</si>
  <si>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</si>
  <si>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 (Total)</t>
  </si>
  <si>
    <t>First Professional, Out-of-State (Total)</t>
  </si>
  <si>
    <t>Other NGF</t>
  </si>
  <si>
    <t xml:space="preserve">Total E&amp;G NGF Revenue </t>
  </si>
  <si>
    <t>E&amp;G GF Revenue (assume flat after 2024)</t>
  </si>
  <si>
    <t xml:space="preserve">Total E&amp;G Revenue </t>
  </si>
  <si>
    <t>Auxiliary Revenue</t>
  </si>
  <si>
    <t>Total Revenue</t>
  </si>
  <si>
    <t xml:space="preserve">  In-State undergraduates</t>
  </si>
  <si>
    <t xml:space="preserve">  All Other students</t>
  </si>
  <si>
    <t xml:space="preserve">  Total non-E&amp;G fee revenue</t>
  </si>
  <si>
    <t>Total Auxiliary Revenue</t>
  </si>
  <si>
    <t>Part 3: Financial Aid Plan: 2022-23 through 2029-30</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</si>
  <si>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for the revenue numbers in Tab 2.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</si>
  <si>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</si>
  <si>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</si>
  <si>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Allocation of Tuition Revenue Used for Student Financial Aid</t>
  </si>
  <si>
    <r>
      <rPr>
        <b/>
        <sz val="14"/>
        <color rgb="FFFF0000"/>
        <rFont val="Arial"/>
        <family val="2"/>
      </rPr>
      <t>*</t>
    </r>
    <r>
      <rPr>
        <b/>
        <sz val="12"/>
        <color theme="1"/>
        <rFont val="Arial"/>
        <family val="2"/>
      </rPr>
      <t>2022-23 (Actual)  Please see footnote below</t>
    </r>
  </si>
  <si>
    <t>T&amp;F Used for Financial Aid</t>
  </si>
  <si>
    <t>Total Tuition Revenue</t>
  </si>
  <si>
    <t>Tuition Revenue for Financial Aid     (Program 108)</t>
  </si>
  <si>
    <t>% Revenue for Financial Aid</t>
  </si>
  <si>
    <t>Distribution of Financial Aid</t>
  </si>
  <si>
    <t>Unfunded Scholarships</t>
  </si>
  <si>
    <t>Other Tuition Discounts and Waivers</t>
  </si>
  <si>
    <t>Gross Tuition Revenue (Cols. B+F+G)</t>
  </si>
  <si>
    <t>Implied Discount Rate</t>
  </si>
  <si>
    <t>Compliance</t>
  </si>
  <si>
    <t>with § 4-5.1.a.i</t>
  </si>
  <si>
    <t>First Professional, In-State</t>
  </si>
  <si>
    <t>First Professional, Out-of-State</t>
  </si>
  <si>
    <t>Total</t>
  </si>
  <si>
    <t>2023-24 (Estimated)</t>
  </si>
  <si>
    <t>2024-25 (Planned)</t>
  </si>
  <si>
    <t>2025-26 (Planned)</t>
  </si>
  <si>
    <t>2026-27 (Pro Forma)</t>
  </si>
  <si>
    <t>2027-28 (Pro Forma)</t>
  </si>
  <si>
    <t>2028-29 (Pro Forma)</t>
  </si>
  <si>
    <t>2029-30 (Pro Forma)</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</si>
  <si>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</si>
  <si>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t>Part 4: ACADEMIC-FINANCIAL PLAN: 2024-25 through 2029-30</t>
  </si>
  <si>
    <r>
      <rPr>
        <sz val="12"/>
        <color rgb="FF000000"/>
        <rFont val="Arial"/>
      </rPr>
      <t xml:space="preserve">Instructions: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and other expenditure increases. Provide a concise description in the "Notes" column (column O), including a % increase where relevant and a specific reference as to where more detailed information can be found in the Narrative document.
Complete the lines appropriate to your institution, adding lines within the relevant categories as needed. As completely as possible, the items should represent a complete picture of your anticipated use of projected tuition revenues and strategic focus areas. Categories are listed in bold; you may not change the categories but you may add lines where indicated. Please update total cost formulas if necessary. For every line, the total amount and the sum of the reallocation and tuition revenue (and GF when indicated) should equal one another. 
Funding amounts in the first year should be incremental. However, if the costs continue into the second year and beyond, they should be reflected cumulatively (i.e. cost increases vs. 2023-24). Please update total cost formulas if necessary. Institutions should assume no general fund (GF) support in 2024-26 in this worksheet other than for salaries, health insurance and VITA charges per the instructions below. A separate worksheet (Part 6) is provided for institutions to request additional GF support for 2024-26. Strategies for student financial aid, other than those that are provided through tuition revenue, should not be included on this table; they should be included in Part 6, General Fund Request, of the plan.
Also,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2"/>
        <color rgb="FF000000"/>
        <rFont val="Arial"/>
      </rPr>
      <t xml:space="preserve">                                                                  
</t>
    </r>
    <r>
      <rPr>
        <sz val="12"/>
        <color rgb="FF000000"/>
        <rFont val="Arial"/>
      </rPr>
      <t xml:space="preserve">Lines 5 and 6 are newly added to collect the estimated E&amp;G expenditures of 2022-23 and 2023-24 as baselines for Tab 5 Pro Forma.     
For the 2026-28 bienium and 2028-2030 bienium, total amounts should be provided as estimates of future expenditures on these items but delineation of reallocation vs. tuition revenue vs. GF does not need to be provided by the institution.
</t>
    </r>
    <r>
      <rPr>
        <sz val="12"/>
        <color rgb="FFFF0000"/>
        <rFont val="Arial"/>
      </rPr>
      <t xml:space="preserve">Funding amounts shall assume an annual 2% salary increase for each year from FY2025 to FY2030 for those employees eligible for the state-supported salary increases in the 2022-2024 biennium. Funding amounts shall also assume an annual 3% health insurance increase and a 5.36% VITA cost increase. Institutions shall calculate the GF portion of these increases in columns H and L using the appropriate fund share, which can be found in Tab 4b. If an institution plans to use its own funds to provide additional salary increases, add lines below the "increased fringe benefits costs" and specify salary amount by employee type and associated fringe benefit costs, but do not put any dollar amount in Columns H and L.
</t>
    </r>
    <r>
      <rPr>
        <sz val="12"/>
        <color rgb="FF000000"/>
        <rFont val="Arial"/>
      </rPr>
      <t xml:space="preserve">
NOTE: In light of ongoing budget negotiations, please complete the template assuming only what has already been signed into law as the baseline 2022-23 and 2023-24 appropriation. In the event that a new budget results in additional funding for institutions in 2023-24, OpSix will provide guidance at that time on whether and how to modify or resubmit plans.</t>
    </r>
  </si>
  <si>
    <t>Please estimate total E&amp;G expenditures for 2022-23 and 2023-24</t>
  </si>
  <si>
    <t>2024-2025
(Auto-calculated)</t>
  </si>
  <si>
    <t>2025-2026
(Auto-calculated)</t>
  </si>
  <si>
    <t>Total Estimated 2022-23 E&amp;G Expenditures</t>
  </si>
  <si>
    <t>Implied GF share</t>
  </si>
  <si>
    <t>Total Estimated 2023-24 E&amp;G Expenditures</t>
  </si>
  <si>
    <t>Incremental amounts relative to 2023-24 estimated baseline</t>
  </si>
  <si>
    <t>2024-2025</t>
  </si>
  <si>
    <t>2025-2026</t>
  </si>
  <si>
    <t>2026-2027</t>
  </si>
  <si>
    <t>2027-2028</t>
  </si>
  <si>
    <t>2028-2029</t>
  </si>
  <si>
    <t>2029-2030</t>
  </si>
  <si>
    <t>Explanation
Please be brief; reference specific narrative question for more detail.
Explicitly share key assumptions, including any additional salary increases beyond the 2% increase baseline.</t>
  </si>
  <si>
    <t>Short Title</t>
  </si>
  <si>
    <t>Total Amount</t>
  </si>
  <si>
    <t>Reallocation</t>
  </si>
  <si>
    <t>Amount from Tuition Revenue</t>
  </si>
  <si>
    <t>Amount from GF (Salaries &amp; benefits only)</t>
  </si>
  <si>
    <t>Total Amount (Pro Forma)</t>
  </si>
  <si>
    <t>Salary &amp; benefit increases for existing employees</t>
  </si>
  <si>
    <t>Increase T&amp;R Faculty Salaries</t>
  </si>
  <si>
    <t>Increase Admin. Faculty Salaries</t>
  </si>
  <si>
    <t>Increase Classified Staff Salaries</t>
  </si>
  <si>
    <t>Increase University Staff Salaries</t>
  </si>
  <si>
    <t>Increase GTA Salaries</t>
  </si>
  <si>
    <t>Increase Adjunct Faculty Salaries</t>
  </si>
  <si>
    <t>3% annual state health insurance cost</t>
  </si>
  <si>
    <t>[Add lines &amp; descriptions here]</t>
  </si>
  <si>
    <t>Inflationary non-personnel cost increases</t>
  </si>
  <si>
    <t>5.36% annual VITA charge increase</t>
  </si>
  <si>
    <t>Contractual services</t>
  </si>
  <si>
    <t>Utilities</t>
  </si>
  <si>
    <t>O&amp;M for New Facilities</t>
  </si>
  <si>
    <t>Financial aid expansion</t>
  </si>
  <si>
    <t>Addt'l In-State Student Financial Aid from Tuition Rev</t>
  </si>
  <si>
    <t>Addt'l Out-of-State Student Financial Aid from Tuition Rev</t>
  </si>
  <si>
    <t>New/expanded academic programs</t>
  </si>
  <si>
    <t>Computer, Data and Applied Sciences</t>
  </si>
  <si>
    <t>Explore Summer Semester Expansion</t>
  </si>
  <si>
    <t>Other academic &amp; student support strategies &amp; initiatives</t>
  </si>
  <si>
    <t>Career/Internship Initiatives</t>
  </si>
  <si>
    <t>Other non-academic strategies &amp; initiatives</t>
  </si>
  <si>
    <t>Total Additional Funding Need</t>
  </si>
  <si>
    <t>Must not be greater than incremental Tuit Rev in Part 2</t>
  </si>
  <si>
    <t>If result is &lt; $0, please provide explanation in these fields.</t>
  </si>
  <si>
    <t>Part 4b General Fund Share in FY2022</t>
  </si>
  <si>
    <t>GF Share</t>
  </si>
  <si>
    <t>Institution</t>
  </si>
  <si>
    <t>FY2022</t>
  </si>
  <si>
    <t>Christopher Newport University</t>
  </si>
  <si>
    <t>George Mason University</t>
  </si>
  <si>
    <t>James Madison University</t>
  </si>
  <si>
    <t>Longwood University</t>
  </si>
  <si>
    <t>Norfolk State University</t>
  </si>
  <si>
    <t>Old Dominion University</t>
  </si>
  <si>
    <t>Radford University</t>
  </si>
  <si>
    <t>University of Mary Washington</t>
  </si>
  <si>
    <t>University of Virginia</t>
  </si>
  <si>
    <t>University of Virginia at Wise</t>
  </si>
  <si>
    <t>Virginia Commonwealth University</t>
  </si>
  <si>
    <t>Virginia Military Institute</t>
  </si>
  <si>
    <t>Virginia State University</t>
  </si>
  <si>
    <t>Virginia Tech</t>
  </si>
  <si>
    <t>Richard Bland College</t>
  </si>
  <si>
    <t>Virginia Community College Sys</t>
  </si>
  <si>
    <t>Total, All Institutions</t>
  </si>
  <si>
    <t>Source: SCHEV 2022 Base Adequacy Calculation.</t>
  </si>
  <si>
    <t>Part 5: Six-year Pro Forma Calculations: 2022-23 through 2029-30</t>
  </si>
  <si>
    <r>
      <t xml:space="preserve">Instructions: No new data needs to be added on this tab; it is entirely comprised by formulas. The top section pulls in data from the previous tabs to calculate a pro forma budget surplus/deficit for the 6 years. The following section calculates what </t>
    </r>
    <r>
      <rPr>
        <sz val="12"/>
        <color theme="1"/>
        <rFont val="Arial"/>
        <family val="2"/>
      </rPr>
      <t>T&amp;F (price) and GF increases would theoretically need to occur each year in order to cover the deficit and maintain the 2022-23 GF/NGF split</t>
    </r>
    <r>
      <rPr>
        <i/>
        <sz val="12"/>
        <color theme="1"/>
        <rFont val="Arial"/>
        <family val="2"/>
      </rPr>
      <t xml:space="preserve">. At the bottom is a blended scenario calculator that a user can leverage to calculate </t>
    </r>
    <r>
      <rPr>
        <sz val="12"/>
        <color theme="1"/>
        <rFont val="Arial"/>
        <family val="2"/>
      </rPr>
      <t>custom</t>
    </r>
    <r>
      <rPr>
        <i/>
        <sz val="12"/>
        <color theme="1"/>
        <rFont val="Arial"/>
        <family val="2"/>
      </rPr>
      <t xml:space="preserve"> "shared" scenarios where deficits can be covered by a combination of expenditure reduction, T&amp;F increases, and GF increases. Cells D28:30 should be set by the user (so long as they add up to 100%) and the results will flow into the rows below that automatically. </t>
    </r>
    <r>
      <rPr>
        <sz val="12"/>
        <color theme="1"/>
        <rFont val="Arial"/>
        <family val="2"/>
      </rPr>
      <t>This analysis is intended to be directional and pro forma; it is not intended to be interpreted as a projection or plan/budget of any kind.
Note: this pro forma does not include any of the additional GF requests in the following tab; those requests would require GF funding on top of what is calculated in this tab.</t>
    </r>
    <r>
      <rPr>
        <i/>
        <sz val="12"/>
        <color theme="1"/>
        <rFont val="Arial"/>
        <family val="2"/>
      </rPr>
      <t xml:space="preserve"> </t>
    </r>
    <r>
      <rPr>
        <sz val="12"/>
        <color theme="1"/>
        <rFont val="Arial"/>
        <family val="2"/>
      </rPr>
      <t>It does account for the salary/health insurance/VITA increases from tab 4, including the corresponding GF increases.</t>
    </r>
  </si>
  <si>
    <t>From FY23-FY30</t>
  </si>
  <si>
    <t>Baseline Pro Forma Surplus/Deficit</t>
  </si>
  <si>
    <t>Total Chg</t>
  </si>
  <si>
    <t>Avg Annual Chg</t>
  </si>
  <si>
    <t>Total E&amp;G GF Revenue (includes tab 4, not tab 6)</t>
  </si>
  <si>
    <t>Tuition discount rate</t>
  </si>
  <si>
    <t>Total E&amp;G NGF Revenue</t>
  </si>
  <si>
    <t>Incremental E&amp;G NGF Revenue vs. prior yr</t>
  </si>
  <si>
    <t>Total E&amp;G Revenue</t>
  </si>
  <si>
    <t>Implied GF % of E&amp;G</t>
  </si>
  <si>
    <t>Total E&amp;G Expenditures</t>
  </si>
  <si>
    <t>Incremental E&amp;G Expenditures vs. 2023-24</t>
  </si>
  <si>
    <t>Reallocation of existing dollars (flat after 2025-26)</t>
  </si>
  <si>
    <t>Pro Forma Surplus/Deficit</t>
  </si>
  <si>
    <t>Incremental Surplus/Deficit</t>
  </si>
  <si>
    <t>What would a constant GF/NGF ratio at 2022-23 levels imply for T&amp;F and GF increases?</t>
  </si>
  <si>
    <t>GF % of E&amp;G</t>
  </si>
  <si>
    <t xml:space="preserve">Implied incremental T&amp;F increase (%) </t>
  </si>
  <si>
    <t>Implied incremental GF Increase (%)</t>
  </si>
  <si>
    <t>Blended Scenario Calculator  - Share of Deficit Covered by Each Source (Must add up to 100%)</t>
  </si>
  <si>
    <t>Expenditure reductions</t>
  </si>
  <si>
    <t>&lt;&lt; Input percentages here</t>
  </si>
  <si>
    <t>T&amp;F increases</t>
  </si>
  <si>
    <t>GF increases</t>
  </si>
  <si>
    <t>TOTAL</t>
  </si>
  <si>
    <t>Implied E&amp;G Expenditure Reduction (%)</t>
  </si>
  <si>
    <t>Implied incremental T&amp;F increase (%)</t>
  </si>
  <si>
    <t>Part 6: General Fund (GF) Request: 2024-2026 Biennium</t>
  </si>
  <si>
    <t>Priority Ranking</t>
  </si>
  <si>
    <t>Initiatives Requiring General Fund Support</t>
  </si>
  <si>
    <t>Notes/Explanation
Please be brief; reference specific narrative question for more detail.</t>
  </si>
  <si>
    <t>Biennium 2024-2026 (7/1/24-6/30/26)</t>
  </si>
  <si>
    <t>Strategies (Match Academic-Financial Worksheet Short Title)</t>
  </si>
  <si>
    <t>Category
(Select best option from dropdown menu)</t>
  </si>
  <si>
    <t>GF Support</t>
  </si>
  <si>
    <t>James Monroe's Highland</t>
  </si>
  <si>
    <t>OTHER (Please specify in description)</t>
  </si>
  <si>
    <t>Research, Education, Community Engagement</t>
  </si>
  <si>
    <t>ERP Modernization Initiative</t>
  </si>
  <si>
    <t>Technology Infrastructure</t>
  </si>
  <si>
    <t>VMSDEP Waivers</t>
  </si>
  <si>
    <t>Degree Pathways</t>
  </si>
  <si>
    <t>Request for state to fund VMSDEP waivers that have grown significantly over past five years.</t>
  </si>
  <si>
    <t>General Operations Support</t>
  </si>
  <si>
    <t>O&amp;M support for Integrated Science Center IV scheduled to come online 8/21/25 and the Muscarelle addition scheduled for 10/21/24.</t>
  </si>
  <si>
    <t>GF Request Categories</t>
  </si>
  <si>
    <t>Career Readiness &amp; Placement</t>
  </si>
  <si>
    <t>Community Engagement</t>
  </si>
  <si>
    <t>Cost efficiency</t>
  </si>
  <si>
    <t>Curriculum</t>
  </si>
  <si>
    <t>Economic Development</t>
  </si>
  <si>
    <t>Education Innovation / Online Learning</t>
  </si>
  <si>
    <t>Enrollment management</t>
  </si>
  <si>
    <t>Financial Aid</t>
  </si>
  <si>
    <t>Partnerships</t>
  </si>
  <si>
    <t>Research</t>
  </si>
  <si>
    <t>Student Success</t>
  </si>
  <si>
    <t>Foregone Tuition Revenue As A Result of Tuition Waivers (See references at bottom of tables for waiver programs)</t>
  </si>
  <si>
    <t>Educational and General Programs</t>
  </si>
  <si>
    <t>The values entered for 2011-12 must match those submitted on the SCHEV S1/S2.</t>
  </si>
  <si>
    <t>2011-12 (Actual from S1/S2)</t>
  </si>
  <si>
    <t>Program</t>
  </si>
  <si>
    <t>In-State</t>
  </si>
  <si>
    <t>Out-of-State</t>
  </si>
  <si>
    <t>Undergraduate</t>
  </si>
  <si>
    <t>Graduate</t>
  </si>
  <si>
    <t>Foreign exchange student waivers</t>
  </si>
  <si>
    <t xml:space="preserve">Virginia's military dependent waivers </t>
  </si>
  <si>
    <t xml:space="preserve">Virginia's military member waivers </t>
  </si>
  <si>
    <t>Virginia's military veteran waivers</t>
  </si>
  <si>
    <t xml:space="preserve">Federal military member and dependent waivers </t>
  </si>
  <si>
    <t>Virginia provision for other state's National Guard duty</t>
  </si>
  <si>
    <t>Special arrangement contracts</t>
  </si>
  <si>
    <t>Academic Common Market</t>
  </si>
  <si>
    <t>Geographic waivers</t>
  </si>
  <si>
    <t>Other waivers associated with in-/out-of-state differential</t>
  </si>
  <si>
    <t>Senior Citizen's Tuition and Fee Waivers</t>
  </si>
  <si>
    <t>Certain Public Safety Personnel Child/Spouse Waivers</t>
  </si>
  <si>
    <t>Virginia Military Survivors &amp; Dependents Education Program</t>
  </si>
  <si>
    <t>Employee Waivers</t>
  </si>
  <si>
    <t>Other waivers of tuition/fees student would normally be charged</t>
  </si>
  <si>
    <t>2012-13 (Estimated)</t>
  </si>
  <si>
    <t>2013-14 (Planned)</t>
  </si>
  <si>
    <t>2014-15 (Planned)</t>
  </si>
  <si>
    <t>2015-16 (Planned)</t>
  </si>
  <si>
    <t>FA File Field</t>
  </si>
  <si>
    <t>Authorization</t>
  </si>
  <si>
    <t>TUIWAIV, IN-1</t>
  </si>
  <si>
    <t>Code of Virginia § 23-31</t>
  </si>
  <si>
    <t xml:space="preserve">TUITION=H </t>
  </si>
  <si>
    <t>Code of Virginia § 23-7.4:2 C 2</t>
  </si>
  <si>
    <t>TUITION=B</t>
  </si>
  <si>
    <t xml:space="preserve">Code of Virginia § 23-7.4 E </t>
  </si>
  <si>
    <t>TUITION=M</t>
  </si>
  <si>
    <t>Code of Virginia § 23-7.4:2 G</t>
  </si>
  <si>
    <t>TUITION=U</t>
  </si>
  <si>
    <t>Code of Virginia § 23-7.4:2 H</t>
  </si>
  <si>
    <t>TUITION=R</t>
  </si>
  <si>
    <t>Federal Higher Education Opportunity Act (Sec. 114)</t>
  </si>
  <si>
    <t>TUITION=T</t>
  </si>
  <si>
    <t>Code of Virginia § 23-7.4:2 B</t>
  </si>
  <si>
    <t>TUITION=I</t>
  </si>
  <si>
    <t>Code of Virginia § 23-7.4:2 F</t>
  </si>
  <si>
    <t>TUITION=C</t>
  </si>
  <si>
    <t>Code of Virginia § 23-7.4:2 C 1</t>
  </si>
  <si>
    <t xml:space="preserve">Geographic waivers </t>
  </si>
  <si>
    <t>Virginia Community College System</t>
  </si>
  <si>
    <t>TUITION=D</t>
  </si>
  <si>
    <t>Code of Virginia § 23-7.4:2 D</t>
  </si>
  <si>
    <t xml:space="preserve">University of Virginia's College at Wise </t>
  </si>
  <si>
    <t>TUITION=E</t>
  </si>
  <si>
    <t>Code of Virginia § 23-7.4:2 E</t>
  </si>
  <si>
    <t>Old Dominion University's TELETECHNET sites/higher education centers; Radford’s Virginia Educators program</t>
  </si>
  <si>
    <t>TUITION=P</t>
  </si>
  <si>
    <t>Appropriation Act (ODU)</t>
  </si>
  <si>
    <t>VCCS dual enrollment agreement</t>
  </si>
  <si>
    <t>TUITION=F</t>
  </si>
  <si>
    <t>Code of Virginia § 23-7.4:2 C 3</t>
  </si>
  <si>
    <t>Nonresident employed full time in Virginia provision</t>
  </si>
  <si>
    <t>TUITION=G</t>
  </si>
  <si>
    <t xml:space="preserve">Code of Virginia § 23-7.4:2 A </t>
  </si>
  <si>
    <t>One-year grace period for dependent whose parent or spouse abandons Virginia domicile</t>
  </si>
  <si>
    <t>TUITION=L</t>
  </si>
  <si>
    <t xml:space="preserve">Code of Virginia § 23-7.4 B </t>
  </si>
  <si>
    <t>Graduate student employed at a contract rate of $4K+</t>
  </si>
  <si>
    <t>TUITION=Q</t>
  </si>
  <si>
    <t>Appropriation Act § 4-2.01 b 6</t>
  </si>
  <si>
    <t>Code of Virginia § 23-38.54 et seq.</t>
  </si>
  <si>
    <t>Code of Virginia § 23-7.4:1 B</t>
  </si>
  <si>
    <t>MSDTFW, IN-7</t>
  </si>
  <si>
    <t>Code of Virginia § 23-7.4:1 A</t>
  </si>
  <si>
    <t>Appropriation Act § 4-2.01 b 9</t>
  </si>
  <si>
    <t>Rank</t>
  </si>
  <si>
    <t>Yes/No</t>
  </si>
  <si>
    <t>Yes</t>
  </si>
  <si>
    <t>No</t>
  </si>
  <si>
    <t>Total of $19.6 million over 4 years in one-time resources to complete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</si>
</sst>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0.0000%"/>
    <numFmt numFmtId="168" formatCode="0.0"/>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0"/>
      <color theme="11"/>
      <name val="Arial"/>
      <family val="2"/>
    </font>
    <font>
      <sz val="10"/>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6"/>
      <name val="Arial"/>
      <family val="2"/>
    </font>
    <font>
      <b/>
      <sz val="13"/>
      <name val="Arial"/>
      <family val="2"/>
    </font>
    <font>
      <i/>
      <sz val="11"/>
      <name val="Arial"/>
      <family val="2"/>
    </font>
    <font>
      <b/>
      <sz val="13"/>
      <color rgb="FF333333"/>
      <name val="Arial"/>
      <family val="2"/>
    </font>
    <font>
      <sz val="13"/>
      <name val="Arial"/>
      <family val="2"/>
    </font>
    <font>
      <b/>
      <i/>
      <sz val="13"/>
      <name val="Arial"/>
      <family val="2"/>
    </font>
    <font>
      <i/>
      <sz val="11"/>
      <color rgb="FF333333"/>
      <name val="Arial"/>
      <family val="2"/>
    </font>
    <font>
      <sz val="10"/>
      <color rgb="FFFF0000"/>
      <name val="Arial"/>
      <family val="2"/>
    </font>
    <font>
      <b/>
      <i/>
      <sz val="11"/>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sz val="12"/>
      <color rgb="FF000000"/>
      <name val="Arial"/>
      <family val="2"/>
    </font>
    <font>
      <sz val="10"/>
      <name val="Arial"/>
      <family val="2"/>
    </font>
    <font>
      <u/>
      <sz val="11"/>
      <name val="Arial"/>
      <family val="2"/>
    </font>
    <font>
      <sz val="12"/>
      <color rgb="FF000000"/>
      <name val="Arial"/>
    </font>
    <font>
      <b/>
      <sz val="12"/>
      <color rgb="FF000000"/>
      <name val="Arial"/>
    </font>
    <font>
      <sz val="12"/>
      <color rgb="FFFF0000"/>
      <name val="Arial"/>
    </font>
    <font>
      <sz val="12"/>
      <color theme="1"/>
      <name val="Calibri"/>
      <family val="2"/>
      <scheme val="minor"/>
    </font>
    <font>
      <b/>
      <sz val="12"/>
      <color theme="1"/>
      <name val="Calibri"/>
      <family val="2"/>
      <scheme val="minor"/>
    </font>
    <font>
      <sz val="10"/>
      <color theme="1"/>
      <name val="Calibri"/>
      <family val="2"/>
      <scheme val="minor"/>
    </font>
    <font>
      <b/>
      <sz val="12"/>
      <name val="Arial"/>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34998626667073579"/>
        <bgColor indexed="64"/>
      </patternFill>
    </fill>
  </fills>
  <borders count="7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style="thin">
        <color auto="1"/>
      </right>
      <top style="double">
        <color indexed="64"/>
      </top>
      <bottom style="double">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auto="1"/>
      </left>
      <right/>
      <top style="medium">
        <color auto="1"/>
      </top>
      <bottom style="thin">
        <color auto="1"/>
      </bottom>
      <diagonal/>
    </border>
    <border>
      <left style="thin">
        <color indexed="64"/>
      </left>
      <right style="thin">
        <color indexed="64"/>
      </right>
      <top/>
      <bottom style="medium">
        <color auto="1"/>
      </bottom>
      <diagonal/>
    </border>
    <border>
      <left style="medium">
        <color auto="1"/>
      </left>
      <right/>
      <top style="medium">
        <color auto="1"/>
      </top>
      <bottom style="thin">
        <color auto="1"/>
      </bottom>
      <diagonal/>
    </border>
    <border>
      <left/>
      <right style="medium">
        <color indexed="64"/>
      </right>
      <top style="thin">
        <color indexed="64"/>
      </top>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right/>
      <top style="medium">
        <color auto="1"/>
      </top>
      <bottom style="thin">
        <color indexed="64"/>
      </bottom>
      <diagonal/>
    </border>
  </borders>
  <cellStyleXfs count="139">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6"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6" fillId="0" borderId="0" applyNumberFormat="0" applyFill="0" applyBorder="0" applyAlignment="0" applyProtection="0">
      <alignment vertical="top"/>
      <protection locked="0"/>
    </xf>
    <xf numFmtId="0" fontId="8" fillId="0" borderId="0"/>
    <xf numFmtId="0" fontId="8" fillId="0" borderId="0"/>
    <xf numFmtId="0" fontId="8"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9" fontId="40"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5"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4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xf numFmtId="43" fontId="70" fillId="0" borderId="0" applyFont="0" applyFill="0" applyBorder="0" applyAlignment="0" applyProtection="0"/>
  </cellStyleXfs>
  <cellXfs count="573">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2" fillId="0" borderId="0" xfId="0" applyFont="1" applyAlignment="1">
      <alignment horizontal="left" vertical="center"/>
    </xf>
    <xf numFmtId="0" fontId="12" fillId="0" borderId="0" xfId="1" applyAlignment="1">
      <alignment vertical="center"/>
    </xf>
    <xf numFmtId="0" fontId="12" fillId="0" borderId="0" xfId="1"/>
    <xf numFmtId="0" fontId="25" fillId="0" borderId="0" xfId="1" applyFont="1"/>
    <xf numFmtId="0" fontId="12" fillId="0" borderId="0" xfId="1" applyAlignment="1">
      <alignment horizontal="left" vertical="center"/>
    </xf>
    <xf numFmtId="0" fontId="13" fillId="0" borderId="0" xfId="0" applyFont="1" applyAlignment="1">
      <alignment horizontal="left"/>
    </xf>
    <xf numFmtId="0" fontId="33" fillId="0" borderId="0" xfId="0" applyFont="1" applyAlignment="1">
      <alignment vertical="center"/>
    </xf>
    <xf numFmtId="164" fontId="12" fillId="6" borderId="2" xfId="0" applyNumberFormat="1" applyFont="1" applyFill="1" applyBorder="1" applyAlignment="1" applyProtection="1">
      <alignment horizontal="right" vertical="center"/>
      <protection locked="0"/>
    </xf>
    <xf numFmtId="164" fontId="12" fillId="2" borderId="2" xfId="0" applyNumberFormat="1" applyFont="1" applyFill="1" applyBorder="1" applyAlignment="1" applyProtection="1">
      <alignment horizontal="right" vertical="center"/>
      <protection locked="0"/>
    </xf>
    <xf numFmtId="0" fontId="32" fillId="0" borderId="0" xfId="0" applyFont="1" applyAlignment="1">
      <alignment vertical="center"/>
    </xf>
    <xf numFmtId="0" fontId="20" fillId="6" borderId="34" xfId="0" applyFont="1" applyFill="1" applyBorder="1" applyAlignment="1">
      <alignment vertical="center"/>
    </xf>
    <xf numFmtId="164" fontId="11" fillId="2" borderId="35" xfId="0" applyNumberFormat="1" applyFont="1" applyFill="1" applyBorder="1" applyAlignment="1" applyProtection="1">
      <alignment horizontal="right" vertical="center"/>
      <protection locked="0"/>
    </xf>
    <xf numFmtId="164" fontId="12" fillId="2" borderId="28"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1" fillId="2" borderId="33" xfId="0" applyNumberFormat="1" applyFont="1" applyFill="1" applyBorder="1" applyAlignment="1">
      <alignment vertical="center"/>
    </xf>
    <xf numFmtId="0" fontId="12" fillId="6" borderId="17" xfId="0" applyFont="1" applyFill="1" applyBorder="1" applyAlignment="1">
      <alignment horizontal="left" vertical="center"/>
    </xf>
    <xf numFmtId="0" fontId="11" fillId="2" borderId="16" xfId="0" applyFont="1" applyFill="1" applyBorder="1" applyAlignment="1">
      <alignment horizontal="center" vertical="center"/>
    </xf>
    <xf numFmtId="0" fontId="12" fillId="6" borderId="0" xfId="0" applyFont="1" applyFill="1" applyAlignment="1">
      <alignment horizontal="left" vertical="center" indent="2"/>
    </xf>
    <xf numFmtId="0" fontId="12" fillId="6" borderId="0" xfId="0" applyFont="1" applyFill="1" applyAlignment="1">
      <alignment horizontal="left" vertical="center"/>
    </xf>
    <xf numFmtId="0" fontId="12" fillId="0" borderId="20" xfId="0" applyFont="1" applyBorder="1"/>
    <xf numFmtId="0" fontId="12" fillId="0" borderId="19" xfId="0" applyFont="1" applyBorder="1" applyAlignment="1">
      <alignment vertical="center"/>
    </xf>
    <xf numFmtId="0" fontId="12" fillId="2" borderId="19" xfId="0" applyFont="1" applyFill="1" applyBorder="1" applyAlignment="1">
      <alignment vertical="center"/>
    </xf>
    <xf numFmtId="0" fontId="12" fillId="6" borderId="23" xfId="0" applyFont="1" applyFill="1" applyBorder="1" applyAlignment="1">
      <alignment vertical="center" wrapText="1"/>
    </xf>
    <xf numFmtId="164" fontId="12" fillId="4" borderId="3" xfId="0" applyNumberFormat="1" applyFont="1" applyFill="1" applyBorder="1" applyAlignment="1" applyProtection="1">
      <alignment horizontal="right" vertical="center"/>
      <protection locked="0"/>
    </xf>
    <xf numFmtId="0" fontId="13" fillId="0" borderId="0" xfId="0" applyFont="1" applyAlignment="1">
      <alignment horizontal="left" vertical="center"/>
    </xf>
    <xf numFmtId="0" fontId="26" fillId="0" borderId="0" xfId="1" applyFont="1" applyAlignment="1">
      <alignment horizontal="center" vertical="center"/>
    </xf>
    <xf numFmtId="0" fontId="17" fillId="0" borderId="21" xfId="12" applyFont="1" applyBorder="1" applyAlignment="1">
      <alignment horizontal="left"/>
    </xf>
    <xf numFmtId="164" fontId="17" fillId="0" borderId="22" xfId="12" applyNumberFormat="1" applyFont="1" applyBorder="1" applyAlignment="1">
      <alignment horizontal="right" wrapText="1"/>
    </xf>
    <xf numFmtId="0" fontId="17" fillId="0" borderId="23" xfId="12" applyFont="1" applyBorder="1" applyAlignment="1">
      <alignment horizontal="left"/>
    </xf>
    <xf numFmtId="0" fontId="17" fillId="0" borderId="24" xfId="12" applyFont="1" applyBorder="1" applyAlignment="1">
      <alignment horizontal="left"/>
    </xf>
    <xf numFmtId="0" fontId="17" fillId="0" borderId="14" xfId="12" applyFont="1" applyBorder="1" applyAlignment="1">
      <alignment horizontal="left" indent="2"/>
    </xf>
    <xf numFmtId="164" fontId="17" fillId="3" borderId="22" xfId="12" applyNumberFormat="1" applyFont="1" applyFill="1" applyBorder="1" applyAlignment="1">
      <alignment horizontal="right" vertical="center" wrapText="1"/>
    </xf>
    <xf numFmtId="164" fontId="17" fillId="3" borderId="19" xfId="12" applyNumberFormat="1" applyFont="1" applyFill="1" applyBorder="1" applyAlignment="1">
      <alignment vertical="center"/>
    </xf>
    <xf numFmtId="164" fontId="17" fillId="3" borderId="16" xfId="12" applyNumberFormat="1" applyFont="1" applyFill="1" applyBorder="1" applyAlignment="1">
      <alignment vertical="center"/>
    </xf>
    <xf numFmtId="164" fontId="17" fillId="3" borderId="19" xfId="12" applyNumberFormat="1" applyFont="1" applyFill="1" applyBorder="1" applyAlignment="1">
      <alignment horizontal="right" vertical="center"/>
    </xf>
    <xf numFmtId="164" fontId="17" fillId="3" borderId="16" xfId="12" applyNumberFormat="1" applyFont="1" applyFill="1" applyBorder="1" applyAlignment="1">
      <alignment horizontal="right" vertical="center"/>
    </xf>
    <xf numFmtId="164" fontId="17" fillId="0" borderId="30" xfId="0" applyNumberFormat="1" applyFont="1" applyBorder="1" applyAlignment="1">
      <alignment horizontal="right" vertical="center" wrapText="1"/>
    </xf>
    <xf numFmtId="164" fontId="17" fillId="0" borderId="49" xfId="0" applyNumberFormat="1" applyFont="1" applyBorder="1" applyAlignment="1">
      <alignment horizontal="right" vertical="center" wrapText="1"/>
    </xf>
    <xf numFmtId="0" fontId="32" fillId="0" borderId="47" xfId="0" applyFont="1" applyBorder="1" applyAlignment="1">
      <alignment horizontal="center" vertical="top"/>
    </xf>
    <xf numFmtId="0" fontId="29" fillId="0" borderId="47" xfId="0" applyFont="1" applyBorder="1" applyAlignment="1">
      <alignment vertical="top" wrapText="1"/>
    </xf>
    <xf numFmtId="0" fontId="32" fillId="0" borderId="49" xfId="0" applyFont="1" applyBorder="1" applyAlignment="1">
      <alignment horizontal="center" vertical="top"/>
    </xf>
    <xf numFmtId="0" fontId="29" fillId="0" borderId="50" xfId="0" applyFont="1" applyBorder="1" applyAlignment="1">
      <alignment vertical="top" wrapText="1"/>
    </xf>
    <xf numFmtId="0" fontId="14" fillId="2" borderId="0" xfId="0" applyFont="1" applyFill="1"/>
    <xf numFmtId="0" fontId="29" fillId="0" borderId="51" xfId="0" applyFont="1" applyBorder="1" applyAlignment="1">
      <alignment horizontal="center" vertical="top" wrapText="1"/>
    </xf>
    <xf numFmtId="0" fontId="29" fillId="0" borderId="52" xfId="0" applyFont="1" applyBorder="1" applyAlignment="1">
      <alignment horizontal="center" vertical="top" wrapText="1"/>
    </xf>
    <xf numFmtId="164" fontId="17" fillId="2" borderId="32" xfId="0" applyNumberFormat="1" applyFont="1" applyFill="1" applyBorder="1" applyAlignment="1">
      <alignment horizontal="right" vertical="center"/>
    </xf>
    <xf numFmtId="164" fontId="17" fillId="2" borderId="33" xfId="0" applyNumberFormat="1" applyFont="1" applyFill="1" applyBorder="1" applyAlignment="1">
      <alignment horizontal="right" vertical="center"/>
    </xf>
    <xf numFmtId="164" fontId="17" fillId="2" borderId="2" xfId="0" applyNumberFormat="1" applyFont="1" applyFill="1" applyBorder="1" applyAlignment="1">
      <alignment horizontal="right" vertical="center"/>
    </xf>
    <xf numFmtId="164" fontId="17" fillId="2" borderId="54" xfId="0" applyNumberFormat="1" applyFont="1" applyFill="1" applyBorder="1" applyAlignment="1">
      <alignment horizontal="right" vertical="center"/>
    </xf>
    <xf numFmtId="164" fontId="17" fillId="0" borderId="53" xfId="0" applyNumberFormat="1" applyFont="1" applyBorder="1" applyAlignment="1">
      <alignment horizontal="right" vertical="center" wrapText="1"/>
    </xf>
    <xf numFmtId="164" fontId="12" fillId="0" borderId="0" xfId="1" applyNumberFormat="1" applyProtection="1">
      <protection locked="0"/>
    </xf>
    <xf numFmtId="0" fontId="26" fillId="0" borderId="0" xfId="1" applyFont="1" applyAlignment="1">
      <alignment vertical="center"/>
    </xf>
    <xf numFmtId="0" fontId="26" fillId="0" borderId="0" xfId="0" applyFont="1" applyAlignment="1">
      <alignment vertical="center"/>
    </xf>
    <xf numFmtId="0" fontId="53" fillId="5" borderId="10" xfId="0" applyFont="1" applyFill="1" applyBorder="1" applyAlignment="1">
      <alignment horizontal="center" vertical="center" wrapText="1"/>
    </xf>
    <xf numFmtId="0" fontId="53" fillId="2" borderId="10" xfId="1" applyFont="1" applyFill="1" applyBorder="1" applyAlignment="1">
      <alignment horizontal="center" vertical="center" wrapText="1"/>
    </xf>
    <xf numFmtId="0" fontId="53" fillId="5" borderId="48" xfId="0" applyFont="1" applyFill="1" applyBorder="1" applyAlignment="1">
      <alignment horizontal="center" vertical="center" wrapText="1"/>
    </xf>
    <xf numFmtId="0" fontId="56" fillId="0" borderId="57" xfId="1" applyFont="1" applyBorder="1" applyAlignment="1">
      <alignment horizontal="left" vertical="top" wrapText="1"/>
    </xf>
    <xf numFmtId="0" fontId="14" fillId="0" borderId="0" xfId="1" applyFont="1" applyAlignment="1">
      <alignment horizontal="left" vertical="top" wrapText="1"/>
    </xf>
    <xf numFmtId="0" fontId="57" fillId="3" borderId="55" xfId="1" applyFont="1" applyFill="1" applyBorder="1" applyAlignment="1">
      <alignment horizontal="left" vertical="top" wrapText="1"/>
    </xf>
    <xf numFmtId="0" fontId="41" fillId="0" borderId="0" xfId="1" applyFont="1" applyAlignment="1">
      <alignment horizontal="left" vertical="center" wrapText="1"/>
    </xf>
    <xf numFmtId="0" fontId="52" fillId="0" borderId="0" xfId="1" applyFont="1" applyAlignment="1">
      <alignment horizontal="left" vertical="top" wrapText="1"/>
    </xf>
    <xf numFmtId="0" fontId="41" fillId="0" borderId="57" xfId="1" applyFont="1" applyBorder="1" applyAlignment="1">
      <alignment horizontal="left" vertical="center" wrapText="1"/>
    </xf>
    <xf numFmtId="0" fontId="44" fillId="3" borderId="16" xfId="1" applyFont="1" applyFill="1" applyBorder="1" applyAlignment="1">
      <alignment horizontal="left" vertical="center" wrapText="1"/>
    </xf>
    <xf numFmtId="0" fontId="14" fillId="0" borderId="0" xfId="1" applyFont="1" applyAlignment="1">
      <alignment horizontal="left" vertical="center" wrapText="1"/>
    </xf>
    <xf numFmtId="0" fontId="57" fillId="3" borderId="55" xfId="1" applyFont="1" applyFill="1" applyBorder="1" applyAlignment="1">
      <alignment horizontal="left" vertical="center" wrapText="1"/>
    </xf>
    <xf numFmtId="0" fontId="46" fillId="0" borderId="55" xfId="1" applyFont="1" applyBorder="1" applyAlignment="1">
      <alignment horizontal="left" vertical="center" wrapText="1"/>
    </xf>
    <xf numFmtId="0" fontId="59" fillId="3" borderId="55" xfId="1" applyFont="1" applyFill="1" applyBorder="1" applyAlignment="1">
      <alignment horizontal="left" vertical="center" wrapText="1"/>
    </xf>
    <xf numFmtId="0" fontId="60" fillId="0" borderId="0" xfId="1" applyFont="1" applyAlignment="1">
      <alignment horizontal="left" vertical="center" wrapText="1"/>
    </xf>
    <xf numFmtId="0" fontId="41" fillId="0" borderId="55" xfId="1" applyFont="1" applyBorder="1" applyAlignment="1">
      <alignment horizontal="left" vertical="center" wrapText="1"/>
    </xf>
    <xf numFmtId="0" fontId="57" fillId="7" borderId="55" xfId="1" applyFont="1" applyFill="1" applyBorder="1" applyAlignment="1">
      <alignment horizontal="left" vertical="center" wrapText="1"/>
    </xf>
    <xf numFmtId="0" fontId="41" fillId="7" borderId="57" xfId="1" applyFont="1" applyFill="1" applyBorder="1" applyAlignment="1">
      <alignment horizontal="left" vertical="center" wrapText="1"/>
    </xf>
    <xf numFmtId="0" fontId="61" fillId="3" borderId="55" xfId="1" applyFont="1" applyFill="1" applyBorder="1" applyAlignment="1">
      <alignment horizontal="left" vertical="center" wrapText="1"/>
    </xf>
    <xf numFmtId="0" fontId="62" fillId="0" borderId="57" xfId="1" applyFont="1" applyBorder="1" applyAlignment="1">
      <alignment horizontal="left" vertical="center" wrapText="1"/>
    </xf>
    <xf numFmtId="0" fontId="58" fillId="0" borderId="0" xfId="1" applyFont="1" applyAlignment="1">
      <alignment horizontal="left" vertical="center" wrapText="1"/>
    </xf>
    <xf numFmtId="0" fontId="58" fillId="0" borderId="57" xfId="1" applyFont="1" applyBorder="1" applyAlignment="1">
      <alignment horizontal="left" vertical="center" wrapText="1"/>
    </xf>
    <xf numFmtId="0" fontId="14" fillId="0" borderId="57" xfId="1" applyFont="1" applyBorder="1" applyAlignment="1">
      <alignment horizontal="left" vertical="top" wrapText="1"/>
    </xf>
    <xf numFmtId="0" fontId="12" fillId="0" borderId="1" xfId="0" applyFont="1" applyBorder="1"/>
    <xf numFmtId="165" fontId="12" fillId="3" borderId="55" xfId="1" applyNumberFormat="1" applyFill="1" applyBorder="1" applyAlignment="1" applyProtection="1">
      <alignment horizontal="right"/>
      <protection locked="0"/>
    </xf>
    <xf numFmtId="164" fontId="12" fillId="3" borderId="0" xfId="1" applyNumberFormat="1" applyFill="1" applyAlignment="1">
      <alignment horizontal="right" vertical="center"/>
    </xf>
    <xf numFmtId="0" fontId="63" fillId="3" borderId="0" xfId="1" quotePrefix="1" applyFont="1" applyFill="1" applyAlignment="1">
      <alignment horizontal="left" vertical="center"/>
    </xf>
    <xf numFmtId="165" fontId="12" fillId="3" borderId="1" xfId="1" applyNumberFormat="1" applyFill="1" applyBorder="1" applyAlignment="1" applyProtection="1">
      <alignment horizontal="right"/>
      <protection locked="0"/>
    </xf>
    <xf numFmtId="165" fontId="11" fillId="3" borderId="16" xfId="1" applyNumberFormat="1" applyFont="1" applyFill="1" applyBorder="1" applyAlignment="1" applyProtection="1">
      <alignment horizontal="right"/>
      <protection locked="0"/>
    </xf>
    <xf numFmtId="164" fontId="12" fillId="0" borderId="0" xfId="1" applyNumberFormat="1" applyAlignment="1">
      <alignment horizontal="left" vertical="center"/>
    </xf>
    <xf numFmtId="164" fontId="17" fillId="0" borderId="21" xfId="12" applyNumberFormat="1" applyFont="1" applyBorder="1" applyAlignment="1">
      <alignment horizontal="right" wrapText="1"/>
    </xf>
    <xf numFmtId="164" fontId="17" fillId="3" borderId="7" xfId="12" applyNumberFormat="1" applyFont="1" applyFill="1" applyBorder="1" applyAlignment="1">
      <alignment vertical="center"/>
    </xf>
    <xf numFmtId="164" fontId="17" fillId="3" borderId="29" xfId="12" applyNumberFormat="1" applyFont="1" applyFill="1" applyBorder="1" applyAlignment="1">
      <alignment horizontal="right" wrapText="1"/>
    </xf>
    <xf numFmtId="164" fontId="17" fillId="3" borderId="32" xfId="12" applyNumberFormat="1" applyFont="1" applyFill="1" applyBorder="1" applyAlignment="1">
      <alignment horizontal="right" wrapText="1"/>
    </xf>
    <xf numFmtId="164" fontId="17" fillId="3" borderId="34" xfId="12" applyNumberFormat="1" applyFont="1" applyFill="1" applyBorder="1" applyAlignment="1">
      <alignment horizontal="right" wrapText="1"/>
    </xf>
    <xf numFmtId="0" fontId="19" fillId="0" borderId="0" xfId="1" applyFont="1"/>
    <xf numFmtId="0" fontId="23" fillId="0" borderId="2" xfId="1" applyFont="1" applyBorder="1"/>
    <xf numFmtId="0" fontId="11" fillId="2" borderId="2" xfId="1" applyFont="1" applyFill="1" applyBorder="1" applyAlignment="1">
      <alignment horizontal="center" vertical="center" wrapText="1"/>
    </xf>
    <xf numFmtId="0" fontId="11" fillId="0" borderId="0" xfId="1" applyFont="1"/>
    <xf numFmtId="0" fontId="65" fillId="6" borderId="0" xfId="0" applyFont="1" applyFill="1"/>
    <xf numFmtId="0" fontId="66" fillId="6" borderId="0" xfId="0" applyFont="1" applyFill="1"/>
    <xf numFmtId="0" fontId="17" fillId="6" borderId="0" xfId="0" applyFont="1" applyFill="1"/>
    <xf numFmtId="0" fontId="17" fillId="6" borderId="0" xfId="0" applyFont="1" applyFill="1" applyAlignment="1">
      <alignment wrapText="1"/>
    </xf>
    <xf numFmtId="0" fontId="12" fillId="6" borderId="0" xfId="0" applyFont="1" applyFill="1" applyAlignment="1">
      <alignment vertical="center"/>
    </xf>
    <xf numFmtId="0" fontId="14" fillId="0" borderId="61" xfId="1" applyFont="1" applyBorder="1" applyAlignment="1">
      <alignment horizontal="left" vertical="top" wrapText="1"/>
    </xf>
    <xf numFmtId="0" fontId="11" fillId="2" borderId="55" xfId="1" applyFont="1" applyFill="1" applyBorder="1" applyAlignment="1">
      <alignment horizontal="center"/>
    </xf>
    <xf numFmtId="0" fontId="11" fillId="2" borderId="55" xfId="1" applyFont="1" applyFill="1" applyBorder="1" applyAlignment="1">
      <alignment horizontal="center" vertical="center" wrapText="1"/>
    </xf>
    <xf numFmtId="0" fontId="23" fillId="0" borderId="55" xfId="1" applyFont="1" applyBorder="1"/>
    <xf numFmtId="0" fontId="12" fillId="0" borderId="55" xfId="1" applyBorder="1" applyAlignment="1">
      <alignment horizontal="left" indent="1"/>
    </xf>
    <xf numFmtId="164" fontId="12" fillId="0" borderId="55" xfId="1" applyNumberFormat="1" applyBorder="1" applyProtection="1">
      <protection locked="0"/>
    </xf>
    <xf numFmtId="0" fontId="12" fillId="0" borderId="55" xfId="1" applyBorder="1"/>
    <xf numFmtId="164" fontId="12" fillId="2" borderId="55" xfId="1" applyNumberFormat="1" applyFill="1" applyBorder="1" applyProtection="1">
      <protection locked="0"/>
    </xf>
    <xf numFmtId="0" fontId="11" fillId="0" borderId="55" xfId="1" applyFont="1" applyBorder="1"/>
    <xf numFmtId="164" fontId="17" fillId="2" borderId="55" xfId="0" applyNumberFormat="1" applyFont="1" applyFill="1" applyBorder="1" applyAlignment="1">
      <alignment horizontal="right" vertical="center"/>
    </xf>
    <xf numFmtId="164" fontId="12" fillId="6" borderId="55" xfId="0" applyNumberFormat="1" applyFont="1" applyFill="1" applyBorder="1" applyAlignment="1" applyProtection="1">
      <alignment horizontal="right" vertical="center"/>
      <protection locked="0"/>
    </xf>
    <xf numFmtId="164" fontId="12" fillId="2" borderId="55" xfId="0" applyNumberFormat="1" applyFont="1" applyFill="1" applyBorder="1" applyAlignment="1" applyProtection="1">
      <alignment horizontal="right" vertical="center"/>
      <protection locked="0"/>
    </xf>
    <xf numFmtId="164" fontId="12" fillId="4" borderId="55" xfId="0" applyNumberFormat="1" applyFont="1" applyFill="1" applyBorder="1" applyAlignment="1" applyProtection="1">
      <alignment horizontal="right" vertical="center"/>
      <protection locked="0"/>
    </xf>
    <xf numFmtId="0" fontId="0" fillId="0" borderId="56" xfId="0" applyBorder="1"/>
    <xf numFmtId="0" fontId="0" fillId="0" borderId="28" xfId="0" applyBorder="1"/>
    <xf numFmtId="0" fontId="0" fillId="0" borderId="62" xfId="0" applyBorder="1"/>
    <xf numFmtId="165" fontId="12" fillId="2" borderId="63" xfId="1" applyNumberFormat="1" applyFill="1" applyBorder="1" applyAlignment="1" applyProtection="1">
      <alignment horizontal="right"/>
      <protection locked="0"/>
    </xf>
    <xf numFmtId="165" fontId="12" fillId="2" borderId="64" xfId="1" applyNumberFormat="1" applyFill="1" applyBorder="1" applyAlignment="1" applyProtection="1">
      <alignment horizontal="right"/>
      <protection locked="0"/>
    </xf>
    <xf numFmtId="165" fontId="12" fillId="2" borderId="27" xfId="1" applyNumberFormat="1" applyFill="1" applyBorder="1" applyAlignment="1" applyProtection="1">
      <alignment horizontal="right"/>
      <protection locked="0"/>
    </xf>
    <xf numFmtId="0" fontId="0" fillId="0" borderId="57" xfId="0" applyBorder="1"/>
    <xf numFmtId="0" fontId="0" fillId="2" borderId="3" xfId="0" applyFill="1" applyBorder="1"/>
    <xf numFmtId="164" fontId="17" fillId="2" borderId="55" xfId="0" applyNumberFormat="1" applyFont="1" applyFill="1" applyBorder="1" applyAlignment="1">
      <alignment horizontal="right" wrapText="1"/>
    </xf>
    <xf numFmtId="164" fontId="17" fillId="2" borderId="3" xfId="0" applyNumberFormat="1" applyFont="1" applyFill="1" applyBorder="1" applyAlignment="1">
      <alignment horizontal="right" wrapText="1"/>
    </xf>
    <xf numFmtId="164" fontId="17" fillId="0" borderId="1" xfId="0" applyNumberFormat="1" applyFont="1" applyBorder="1" applyAlignment="1">
      <alignment horizontal="right" wrapText="1"/>
    </xf>
    <xf numFmtId="164" fontId="17" fillId="0" borderId="57" xfId="0" applyNumberFormat="1" applyFont="1" applyBorder="1" applyAlignment="1">
      <alignment horizontal="right" wrapText="1"/>
    </xf>
    <xf numFmtId="164" fontId="17" fillId="0" borderId="2" xfId="0" applyNumberFormat="1" applyFont="1" applyBorder="1" applyAlignment="1">
      <alignment horizontal="right" wrapText="1"/>
    </xf>
    <xf numFmtId="164" fontId="17" fillId="0" borderId="62" xfId="0" applyNumberFormat="1" applyFont="1" applyBorder="1" applyAlignment="1">
      <alignment horizontal="right" wrapText="1"/>
    </xf>
    <xf numFmtId="164" fontId="17" fillId="0" borderId="56" xfId="0" applyNumberFormat="1" applyFont="1" applyBorder="1" applyAlignment="1">
      <alignment horizontal="right" wrapText="1"/>
    </xf>
    <xf numFmtId="164" fontId="17" fillId="0" borderId="28" xfId="0" applyNumberFormat="1" applyFont="1" applyBorder="1" applyAlignment="1">
      <alignment horizontal="right" wrapText="1"/>
    </xf>
    <xf numFmtId="9" fontId="0" fillId="2" borderId="64" xfId="83" applyFont="1" applyFill="1" applyBorder="1" applyAlignment="1">
      <alignment horizontal="right"/>
    </xf>
    <xf numFmtId="9" fontId="11" fillId="0" borderId="4" xfId="83" applyFont="1" applyFill="1" applyBorder="1" applyAlignment="1">
      <alignment horizontal="center" vertical="center"/>
    </xf>
    <xf numFmtId="0" fontId="12" fillId="2" borderId="55" xfId="1" applyFill="1" applyBorder="1"/>
    <xf numFmtId="0" fontId="19" fillId="2" borderId="55" xfId="1" applyFont="1" applyFill="1" applyBorder="1"/>
    <xf numFmtId="0" fontId="11" fillId="2" borderId="3" xfId="1" applyFont="1" applyFill="1" applyBorder="1" applyAlignment="1">
      <alignment horizontal="center"/>
    </xf>
    <xf numFmtId="164" fontId="12" fillId="0" borderId="3" xfId="1" applyNumberFormat="1" applyBorder="1" applyProtection="1">
      <protection locked="0"/>
    </xf>
    <xf numFmtId="164" fontId="12" fillId="2" borderId="3" xfId="1" applyNumberFormat="1" applyFill="1" applyBorder="1" applyProtection="1">
      <protection locked="0"/>
    </xf>
    <xf numFmtId="164" fontId="17" fillId="3" borderId="68" xfId="12" applyNumberFormat="1" applyFont="1" applyFill="1" applyBorder="1" applyAlignment="1">
      <alignment horizontal="right" wrapText="1"/>
    </xf>
    <xf numFmtId="164" fontId="17" fillId="3" borderId="23" xfId="12" applyNumberFormat="1" applyFont="1" applyFill="1" applyBorder="1" applyAlignment="1">
      <alignment horizontal="right" wrapText="1"/>
    </xf>
    <xf numFmtId="164" fontId="17" fillId="3" borderId="60" xfId="12" applyNumberFormat="1" applyFont="1" applyFill="1" applyBorder="1" applyAlignment="1">
      <alignment horizontal="right" wrapText="1"/>
    </xf>
    <xf numFmtId="164" fontId="17" fillId="3" borderId="10" xfId="12" applyNumberFormat="1" applyFont="1" applyFill="1" applyBorder="1" applyAlignment="1">
      <alignment vertical="center"/>
    </xf>
    <xf numFmtId="165" fontId="12" fillId="0" borderId="0" xfId="83" applyNumberFormat="1" applyFont="1"/>
    <xf numFmtId="165" fontId="54" fillId="0" borderId="0" xfId="83" applyNumberFormat="1" applyFont="1" applyBorder="1" applyAlignment="1">
      <alignment horizontal="left" vertical="center" wrapText="1"/>
    </xf>
    <xf numFmtId="165" fontId="16" fillId="7" borderId="0" xfId="83" applyNumberFormat="1" applyFont="1" applyFill="1" applyBorder="1" applyAlignment="1">
      <alignment horizontal="left" vertical="center" wrapText="1"/>
    </xf>
    <xf numFmtId="165" fontId="28" fillId="0" borderId="0" xfId="83" applyNumberFormat="1" applyFont="1" applyBorder="1" applyAlignment="1">
      <alignment horizontal="left"/>
    </xf>
    <xf numFmtId="165" fontId="16" fillId="0" borderId="0" xfId="83" applyNumberFormat="1" applyFont="1" applyFill="1" applyBorder="1" applyAlignment="1">
      <alignment horizontal="center" vertical="center" wrapText="1"/>
    </xf>
    <xf numFmtId="165" fontId="17" fillId="3" borderId="57" xfId="83" applyNumberFormat="1" applyFont="1" applyFill="1" applyBorder="1" applyAlignment="1">
      <alignment horizontal="right" wrapText="1"/>
    </xf>
    <xf numFmtId="165" fontId="17" fillId="3" borderId="2" xfId="83" applyNumberFormat="1" applyFont="1" applyFill="1" applyBorder="1" applyAlignment="1">
      <alignment horizontal="right" wrapText="1"/>
    </xf>
    <xf numFmtId="165" fontId="12" fillId="0" borderId="0" xfId="83" applyNumberFormat="1" applyFont="1" applyAlignment="1">
      <alignment horizontal="left" vertical="center"/>
    </xf>
    <xf numFmtId="165" fontId="43" fillId="0" borderId="0" xfId="83" applyNumberFormat="1" applyFont="1" applyBorder="1" applyAlignment="1">
      <alignment horizontal="left" vertical="center" wrapText="1"/>
    </xf>
    <xf numFmtId="0" fontId="17" fillId="0" borderId="0" xfId="1" applyFont="1" applyAlignment="1">
      <alignment horizontal="left" vertical="center" wrapText="1"/>
    </xf>
    <xf numFmtId="165" fontId="26" fillId="0" borderId="0" xfId="83" applyNumberFormat="1" applyFont="1" applyAlignment="1">
      <alignment vertical="center"/>
    </xf>
    <xf numFmtId="165" fontId="11" fillId="2" borderId="55" xfId="83" applyNumberFormat="1" applyFont="1" applyFill="1" applyBorder="1" applyAlignment="1">
      <alignment horizontal="center"/>
    </xf>
    <xf numFmtId="165" fontId="0" fillId="2" borderId="64" xfId="83" applyNumberFormat="1" applyFont="1" applyFill="1" applyBorder="1" applyAlignment="1">
      <alignment horizontal="right"/>
    </xf>
    <xf numFmtId="165" fontId="12" fillId="0" borderId="0" xfId="83" applyNumberFormat="1" applyFont="1" applyFill="1" applyBorder="1" applyProtection="1">
      <protection locked="0"/>
    </xf>
    <xf numFmtId="165" fontId="12" fillId="0" borderId="0" xfId="83" applyNumberFormat="1" applyFont="1" applyBorder="1" applyProtection="1">
      <protection locked="0"/>
    </xf>
    <xf numFmtId="165" fontId="0" fillId="0" borderId="0" xfId="83" applyNumberFormat="1" applyFont="1"/>
    <xf numFmtId="165" fontId="11" fillId="2" borderId="4" xfId="83" applyNumberFormat="1" applyFont="1" applyFill="1" applyBorder="1" applyAlignment="1">
      <alignment horizontal="center" vertical="center"/>
    </xf>
    <xf numFmtId="9" fontId="11" fillId="2" borderId="0" xfId="83" applyFont="1" applyFill="1" applyBorder="1" applyAlignment="1">
      <alignment horizontal="center" vertical="center"/>
    </xf>
    <xf numFmtId="165" fontId="0" fillId="2" borderId="0" xfId="83" applyNumberFormat="1" applyFont="1" applyFill="1" applyAlignment="1">
      <alignment horizontal="right"/>
    </xf>
    <xf numFmtId="0" fontId="12" fillId="8" borderId="55" xfId="1" applyFill="1" applyBorder="1"/>
    <xf numFmtId="164" fontId="12" fillId="8" borderId="55" xfId="1" applyNumberFormat="1" applyFill="1" applyBorder="1" applyProtection="1">
      <protection locked="0"/>
    </xf>
    <xf numFmtId="0" fontId="17" fillId="0" borderId="0" xfId="12" applyFont="1" applyAlignment="1">
      <alignment horizontal="left" indent="2"/>
    </xf>
    <xf numFmtId="164" fontId="17" fillId="0" borderId="0" xfId="12" applyNumberFormat="1" applyFont="1" applyAlignment="1">
      <alignment horizontal="right" vertical="center"/>
    </xf>
    <xf numFmtId="165" fontId="11" fillId="0" borderId="0" xfId="1" applyNumberFormat="1" applyFont="1" applyAlignment="1" applyProtection="1">
      <alignment horizontal="right"/>
      <protection locked="0"/>
    </xf>
    <xf numFmtId="164" fontId="17" fillId="0" borderId="0" xfId="12" applyNumberFormat="1" applyFont="1" applyAlignment="1">
      <alignment vertical="center"/>
    </xf>
    <xf numFmtId="165" fontId="17" fillId="0" borderId="0" xfId="83" applyNumberFormat="1" applyFont="1" applyFill="1" applyBorder="1" applyAlignment="1">
      <alignment horizontal="right" wrapText="1"/>
    </xf>
    <xf numFmtId="0" fontId="0" fillId="6" borderId="0" xfId="0" applyFill="1"/>
    <xf numFmtId="0" fontId="0" fillId="6" borderId="65" xfId="0" applyFill="1" applyBorder="1"/>
    <xf numFmtId="0" fontId="0" fillId="6" borderId="59" xfId="0" applyFill="1" applyBorder="1"/>
    <xf numFmtId="0" fontId="0" fillId="6" borderId="17" xfId="0" applyFill="1" applyBorder="1"/>
    <xf numFmtId="0" fontId="11" fillId="6" borderId="17" xfId="0" applyFont="1" applyFill="1" applyBorder="1"/>
    <xf numFmtId="0" fontId="11" fillId="6" borderId="24" xfId="0" applyFont="1" applyFill="1" applyBorder="1"/>
    <xf numFmtId="0" fontId="11" fillId="6" borderId="21" xfId="0" applyFont="1" applyFill="1" applyBorder="1"/>
    <xf numFmtId="0" fontId="12" fillId="6" borderId="56" xfId="0" applyFont="1" applyFill="1" applyBorder="1"/>
    <xf numFmtId="0" fontId="11" fillId="10" borderId="18" xfId="0" applyFont="1" applyFill="1" applyBorder="1"/>
    <xf numFmtId="0" fontId="67" fillId="6" borderId="0" xfId="0" applyFont="1" applyFill="1" applyAlignment="1">
      <alignment vertical="center" wrapText="1"/>
    </xf>
    <xf numFmtId="0" fontId="17" fillId="2" borderId="1" xfId="0" applyFont="1" applyFill="1" applyBorder="1" applyAlignment="1">
      <alignment horizontal="center" wrapText="1"/>
    </xf>
    <xf numFmtId="0" fontId="17" fillId="2" borderId="57" xfId="0" applyFont="1" applyFill="1" applyBorder="1" applyAlignment="1">
      <alignment horizontal="center" wrapText="1"/>
    </xf>
    <xf numFmtId="0" fontId="17" fillId="2" borderId="62" xfId="0" applyFont="1" applyFill="1" applyBorder="1" applyAlignment="1">
      <alignment horizontal="center" wrapText="1"/>
    </xf>
    <xf numFmtId="0" fontId="17" fillId="2" borderId="63" xfId="0" applyFont="1" applyFill="1" applyBorder="1" applyAlignment="1">
      <alignment horizontal="center" wrapText="1"/>
    </xf>
    <xf numFmtId="0" fontId="11" fillId="6" borderId="23" xfId="0" applyFont="1" applyFill="1" applyBorder="1"/>
    <xf numFmtId="0" fontId="13" fillId="6" borderId="3" xfId="1" applyFont="1" applyFill="1" applyBorder="1" applyAlignment="1" applyProtection="1">
      <alignment horizontal="center" vertical="center"/>
      <protection locked="0"/>
    </xf>
    <xf numFmtId="0" fontId="13" fillId="6" borderId="4" xfId="1" applyFont="1" applyFill="1" applyBorder="1" applyAlignment="1" applyProtection="1">
      <alignment horizontal="center" vertical="center"/>
      <protection locked="0"/>
    </xf>
    <xf numFmtId="0" fontId="24" fillId="6" borderId="0" xfId="1" applyFont="1" applyFill="1" applyAlignment="1" applyProtection="1">
      <alignment vertical="center"/>
      <protection locked="0"/>
    </xf>
    <xf numFmtId="164" fontId="13" fillId="6" borderId="0" xfId="1" applyNumberFormat="1" applyFont="1" applyFill="1" applyAlignment="1" applyProtection="1">
      <alignment vertical="center"/>
      <protection locked="0"/>
    </xf>
    <xf numFmtId="0" fontId="26" fillId="6" borderId="0" xfId="0" applyFont="1" applyFill="1" applyAlignment="1">
      <alignment vertical="center"/>
    </xf>
    <xf numFmtId="0" fontId="13" fillId="6" borderId="0" xfId="1" applyFont="1" applyFill="1" applyAlignment="1" applyProtection="1">
      <alignment horizontal="left" vertical="center"/>
      <protection locked="0"/>
    </xf>
    <xf numFmtId="164" fontId="17" fillId="6" borderId="0" xfId="0" applyNumberFormat="1" applyFont="1" applyFill="1" applyAlignment="1" applyProtection="1">
      <alignment horizontal="right" vertical="center" wrapText="1"/>
      <protection locked="0"/>
    </xf>
    <xf numFmtId="0" fontId="32" fillId="6" borderId="0" xfId="0" applyFont="1" applyFill="1" applyAlignment="1" applyProtection="1">
      <alignment horizontal="center" vertical="center"/>
      <protection locked="0"/>
    </xf>
    <xf numFmtId="0" fontId="14" fillId="6" borderId="0" xfId="1" applyFont="1" applyFill="1" applyAlignment="1" applyProtection="1">
      <alignment vertical="center"/>
      <protection locked="0"/>
    </xf>
    <xf numFmtId="0" fontId="13" fillId="6" borderId="0" xfId="1" applyFont="1" applyFill="1" applyAlignment="1" applyProtection="1">
      <alignment horizontal="center" vertical="center"/>
      <protection locked="0"/>
    </xf>
    <xf numFmtId="0" fontId="13" fillId="6" borderId="18" xfId="1" applyFont="1" applyFill="1" applyBorder="1" applyAlignment="1" applyProtection="1">
      <alignment horizontal="left" vertical="center"/>
      <protection locked="0"/>
    </xf>
    <xf numFmtId="0" fontId="13" fillId="6" borderId="10" xfId="1" applyFont="1" applyFill="1" applyBorder="1" applyAlignment="1" applyProtection="1">
      <alignment horizontal="left" vertical="center"/>
      <protection locked="0"/>
    </xf>
    <xf numFmtId="164" fontId="17" fillId="9" borderId="58" xfId="0" applyNumberFormat="1" applyFont="1" applyFill="1" applyBorder="1" applyAlignment="1" applyProtection="1">
      <alignment horizontal="right" vertical="center" wrapText="1"/>
      <protection locked="0"/>
    </xf>
    <xf numFmtId="164" fontId="17" fillId="9" borderId="9" xfId="0" applyNumberFormat="1" applyFont="1" applyFill="1" applyBorder="1" applyAlignment="1" applyProtection="1">
      <alignment horizontal="right" vertical="center" wrapText="1"/>
      <protection locked="0"/>
    </xf>
    <xf numFmtId="0" fontId="30" fillId="3" borderId="0" xfId="0" applyFont="1" applyFill="1" applyAlignment="1">
      <alignment horizontal="center" vertical="center" wrapText="1"/>
    </xf>
    <xf numFmtId="164" fontId="17" fillId="3" borderId="0" xfId="0" applyNumberFormat="1" applyFont="1" applyFill="1" applyAlignment="1" applyProtection="1">
      <alignment horizontal="right" vertical="center" wrapText="1"/>
      <protection locked="0"/>
    </xf>
    <xf numFmtId="0" fontId="30" fillId="3" borderId="57" xfId="0" applyFont="1" applyFill="1" applyBorder="1" applyAlignment="1">
      <alignment horizontal="center" vertical="center" wrapText="1"/>
    </xf>
    <xf numFmtId="164" fontId="13" fillId="2" borderId="57" xfId="1" applyNumberFormat="1" applyFont="1" applyFill="1" applyBorder="1" applyAlignment="1" applyProtection="1">
      <alignment vertical="center"/>
      <protection locked="0"/>
    </xf>
    <xf numFmtId="164" fontId="13" fillId="3" borderId="57" xfId="1" applyNumberFormat="1" applyFont="1" applyFill="1" applyBorder="1" applyAlignment="1" applyProtection="1">
      <alignment vertical="center"/>
      <protection locked="0"/>
    </xf>
    <xf numFmtId="0" fontId="30" fillId="3" borderId="56" xfId="0" applyFont="1" applyFill="1" applyBorder="1" applyAlignment="1">
      <alignment horizontal="center" vertical="center" wrapText="1"/>
    </xf>
    <xf numFmtId="0" fontId="30" fillId="3" borderId="64" xfId="0" applyFont="1" applyFill="1" applyBorder="1" applyAlignment="1">
      <alignment horizontal="center" vertical="center" wrapText="1"/>
    </xf>
    <xf numFmtId="164" fontId="17" fillId="3" borderId="56" xfId="0" applyNumberFormat="1" applyFont="1" applyFill="1" applyBorder="1" applyAlignment="1" applyProtection="1">
      <alignment horizontal="right" vertical="center" wrapText="1"/>
      <protection locked="0"/>
    </xf>
    <xf numFmtId="164" fontId="17" fillId="3" borderId="64" xfId="0" applyNumberFormat="1" applyFont="1" applyFill="1" applyBorder="1" applyAlignment="1" applyProtection="1">
      <alignment horizontal="right" vertical="center" wrapText="1"/>
      <protection locked="0"/>
    </xf>
    <xf numFmtId="164" fontId="17" fillId="3" borderId="57" xfId="0" applyNumberFormat="1" applyFont="1" applyFill="1" applyBorder="1" applyAlignment="1" applyProtection="1">
      <alignment horizontal="right" vertical="center" wrapText="1"/>
      <protection locked="0"/>
    </xf>
    <xf numFmtId="0" fontId="30" fillId="2" borderId="55"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14" fillId="6" borderId="56" xfId="1" applyFont="1" applyFill="1" applyBorder="1" applyAlignment="1" applyProtection="1">
      <alignment vertical="center"/>
      <protection locked="0"/>
    </xf>
    <xf numFmtId="0" fontId="24" fillId="2" borderId="66" xfId="1" applyFont="1" applyFill="1" applyBorder="1" applyAlignment="1" applyProtection="1">
      <alignment vertical="center"/>
      <protection locked="0"/>
    </xf>
    <xf numFmtId="164" fontId="17" fillId="9" borderId="56" xfId="0" applyNumberFormat="1" applyFont="1" applyFill="1" applyBorder="1" applyAlignment="1" applyProtection="1">
      <alignment horizontal="right" vertical="center" wrapText="1"/>
      <protection locked="0"/>
    </xf>
    <xf numFmtId="164" fontId="17" fillId="9" borderId="0" xfId="0" applyNumberFormat="1" applyFont="1" applyFill="1" applyAlignment="1" applyProtection="1">
      <alignment horizontal="right" vertical="center" wrapText="1"/>
      <protection locked="0"/>
    </xf>
    <xf numFmtId="164" fontId="17" fillId="9" borderId="64" xfId="0" applyNumberFormat="1" applyFont="1" applyFill="1" applyBorder="1" applyAlignment="1" applyProtection="1">
      <alignment horizontal="right" vertical="center" wrapText="1"/>
      <protection locked="0"/>
    </xf>
    <xf numFmtId="164" fontId="17" fillId="9" borderId="57" xfId="0" applyNumberFormat="1" applyFont="1" applyFill="1" applyBorder="1" applyAlignment="1" applyProtection="1">
      <alignment horizontal="right" vertical="center" wrapText="1"/>
      <protection locked="0"/>
    </xf>
    <xf numFmtId="0" fontId="12" fillId="6" borderId="0" xfId="0" applyFont="1" applyFill="1" applyAlignment="1" applyProtection="1">
      <alignment horizontal="center" vertical="center"/>
      <protection locked="0"/>
    </xf>
    <xf numFmtId="0" fontId="50" fillId="6" borderId="0" xfId="0" applyFont="1" applyFill="1" applyAlignment="1" applyProtection="1">
      <alignment vertical="center"/>
      <protection locked="0"/>
    </xf>
    <xf numFmtId="0" fontId="12" fillId="2" borderId="55" xfId="0" applyFont="1" applyFill="1" applyBorder="1" applyAlignment="1">
      <alignment vertical="center"/>
    </xf>
    <xf numFmtId="0" fontId="13" fillId="6" borderId="56" xfId="1" applyFont="1" applyFill="1" applyBorder="1" applyAlignment="1" applyProtection="1">
      <alignment vertical="center"/>
      <protection locked="0"/>
    </xf>
    <xf numFmtId="0" fontId="13" fillId="3" borderId="56" xfId="1" applyFont="1" applyFill="1" applyBorder="1" applyAlignment="1" applyProtection="1">
      <alignment vertical="center"/>
      <protection locked="0"/>
    </xf>
    <xf numFmtId="0" fontId="12" fillId="3" borderId="57" xfId="0" applyFont="1" applyFill="1" applyBorder="1" applyAlignment="1">
      <alignment vertical="center"/>
    </xf>
    <xf numFmtId="0" fontId="12" fillId="6" borderId="56" xfId="0" applyFont="1" applyFill="1" applyBorder="1" applyAlignment="1">
      <alignment vertical="center"/>
    </xf>
    <xf numFmtId="0" fontId="12" fillId="9" borderId="57" xfId="0" applyFont="1" applyFill="1" applyBorder="1" applyAlignment="1">
      <alignment vertical="center"/>
    </xf>
    <xf numFmtId="0" fontId="13" fillId="2" borderId="30" xfId="1" applyFont="1" applyFill="1" applyBorder="1" applyAlignment="1">
      <alignment vertical="center"/>
    </xf>
    <xf numFmtId="164" fontId="13" fillId="2" borderId="66" xfId="1" applyNumberFormat="1" applyFont="1" applyFill="1" applyBorder="1" applyAlignment="1">
      <alignment vertical="center"/>
    </xf>
    <xf numFmtId="164" fontId="13" fillId="2" borderId="72" xfId="1" applyNumberFormat="1" applyFont="1" applyFill="1" applyBorder="1" applyAlignment="1">
      <alignment vertical="center"/>
    </xf>
    <xf numFmtId="164" fontId="13" fillId="2" borderId="70" xfId="1" applyNumberFormat="1" applyFont="1" applyFill="1" applyBorder="1" applyAlignment="1">
      <alignment vertical="center"/>
    </xf>
    <xf numFmtId="164" fontId="13" fillId="2" borderId="30" xfId="1" applyNumberFormat="1" applyFont="1" applyFill="1" applyBorder="1" applyAlignment="1">
      <alignment vertical="center"/>
    </xf>
    <xf numFmtId="0" fontId="13" fillId="2" borderId="30" xfId="0" applyFont="1" applyFill="1" applyBorder="1" applyAlignment="1">
      <alignment vertical="center"/>
    </xf>
    <xf numFmtId="0" fontId="12" fillId="6" borderId="0" xfId="1" applyFill="1" applyAlignment="1">
      <alignment vertical="center"/>
    </xf>
    <xf numFmtId="0" fontId="13" fillId="6" borderId="0" xfId="1" applyFont="1" applyFill="1" applyAlignment="1">
      <alignment vertical="center"/>
    </xf>
    <xf numFmtId="0" fontId="11" fillId="6" borderId="0" xfId="1" applyFont="1" applyFill="1" applyAlignment="1">
      <alignment vertical="center"/>
    </xf>
    <xf numFmtId="164" fontId="14" fillId="6" borderId="28" xfId="0" applyNumberFormat="1" applyFont="1" applyFill="1" applyBorder="1" applyAlignment="1">
      <alignment vertical="center"/>
    </xf>
    <xf numFmtId="164" fontId="14" fillId="6" borderId="27" xfId="0" applyNumberFormat="1" applyFont="1" applyFill="1" applyBorder="1" applyAlignment="1">
      <alignment vertical="center"/>
    </xf>
    <xf numFmtId="0" fontId="12" fillId="6" borderId="28" xfId="0" applyFont="1" applyFill="1" applyBorder="1" applyAlignment="1">
      <alignment vertical="center"/>
    </xf>
    <xf numFmtId="0" fontId="12" fillId="6" borderId="27" xfId="0" applyFont="1" applyFill="1" applyBorder="1" applyAlignment="1">
      <alignment vertical="center"/>
    </xf>
    <xf numFmtId="166" fontId="12" fillId="10" borderId="0" xfId="138" applyNumberFormat="1" applyFont="1" applyFill="1" applyBorder="1" applyAlignment="1">
      <alignment horizontal="center"/>
    </xf>
    <xf numFmtId="165" fontId="12" fillId="9" borderId="8" xfId="83" applyNumberFormat="1" applyFont="1" applyFill="1" applyBorder="1" applyAlignment="1">
      <alignment horizontal="center"/>
    </xf>
    <xf numFmtId="165" fontId="0" fillId="9" borderId="0" xfId="83" applyNumberFormat="1" applyFont="1" applyFill="1" applyBorder="1" applyAlignment="1">
      <alignment horizontal="right"/>
    </xf>
    <xf numFmtId="0" fontId="18" fillId="0" borderId="0" xfId="0" applyFont="1" applyAlignment="1">
      <alignment vertical="center" wrapText="1"/>
    </xf>
    <xf numFmtId="0" fontId="18" fillId="0" borderId="8" xfId="0" applyFont="1" applyBorder="1" applyAlignment="1">
      <alignment vertical="center" wrapText="1"/>
    </xf>
    <xf numFmtId="0" fontId="14" fillId="6" borderId="0" xfId="1" applyFont="1" applyFill="1" applyAlignment="1" applyProtection="1">
      <alignment vertical="center" wrapText="1"/>
      <protection locked="0"/>
    </xf>
    <xf numFmtId="0" fontId="12" fillId="6" borderId="0" xfId="0" applyFont="1" applyFill="1"/>
    <xf numFmtId="166" fontId="0" fillId="9" borderId="0" xfId="138" applyNumberFormat="1" applyFont="1" applyFill="1" applyBorder="1"/>
    <xf numFmtId="9" fontId="0" fillId="10" borderId="0" xfId="83" applyFont="1" applyFill="1" applyBorder="1" applyAlignment="1">
      <alignment horizontal="right"/>
    </xf>
    <xf numFmtId="9" fontId="11" fillId="10" borderId="0" xfId="83" applyFont="1" applyFill="1" applyBorder="1" applyAlignment="1">
      <alignment horizontal="right"/>
    </xf>
    <xf numFmtId="168" fontId="0" fillId="6" borderId="0" xfId="0" applyNumberFormat="1" applyFill="1"/>
    <xf numFmtId="0" fontId="11" fillId="2" borderId="0" xfId="1" applyFont="1" applyFill="1" applyAlignment="1">
      <alignment horizontal="center" vertical="center"/>
    </xf>
    <xf numFmtId="9" fontId="11" fillId="2" borderId="0" xfId="6" applyFont="1" applyFill="1" applyBorder="1" applyAlignment="1">
      <alignment horizontal="center" vertical="center"/>
    </xf>
    <xf numFmtId="0" fontId="53" fillId="2" borderId="0" xfId="0" applyFont="1" applyFill="1" applyAlignment="1" applyProtection="1">
      <alignment horizontal="center" vertical="center" wrapText="1"/>
      <protection locked="0"/>
    </xf>
    <xf numFmtId="0" fontId="53" fillId="2" borderId="0" xfId="0" applyFont="1" applyFill="1" applyAlignment="1">
      <alignment horizontal="center" vertical="center" wrapText="1"/>
    </xf>
    <xf numFmtId="165" fontId="0" fillId="9" borderId="0" xfId="83" applyNumberFormat="1" applyFont="1" applyFill="1" applyBorder="1" applyAlignment="1">
      <alignment horizontal="center"/>
    </xf>
    <xf numFmtId="0" fontId="11" fillId="10" borderId="59" xfId="1" applyFont="1" applyFill="1" applyBorder="1" applyAlignment="1">
      <alignment horizontal="center" vertical="center"/>
    </xf>
    <xf numFmtId="9" fontId="11" fillId="10" borderId="59" xfId="83" applyFont="1" applyFill="1" applyBorder="1" applyAlignment="1">
      <alignment horizontal="center" vertical="center"/>
    </xf>
    <xf numFmtId="0" fontId="53" fillId="10" borderId="59" xfId="0" applyFont="1" applyFill="1" applyBorder="1" applyAlignment="1" applyProtection="1">
      <alignment horizontal="center" vertical="center" wrapText="1"/>
      <protection locked="0"/>
    </xf>
    <xf numFmtId="0" fontId="53" fillId="10" borderId="59" xfId="0" applyFont="1" applyFill="1" applyBorder="1" applyAlignment="1">
      <alignment horizontal="center" vertical="center" wrapText="1"/>
    </xf>
    <xf numFmtId="0" fontId="11" fillId="10" borderId="17" xfId="0" applyFont="1" applyFill="1" applyBorder="1"/>
    <xf numFmtId="0" fontId="11" fillId="10" borderId="10" xfId="0" applyFont="1" applyFill="1" applyBorder="1"/>
    <xf numFmtId="166" fontId="12" fillId="10" borderId="8" xfId="138" applyNumberFormat="1" applyFont="1" applyFill="1" applyBorder="1" applyAlignment="1">
      <alignment horizontal="center"/>
    </xf>
    <xf numFmtId="166" fontId="12" fillId="10" borderId="8" xfId="8" applyNumberFormat="1" applyFont="1" applyFill="1" applyBorder="1" applyAlignment="1">
      <alignment horizontal="center"/>
    </xf>
    <xf numFmtId="9" fontId="0" fillId="10" borderId="8" xfId="83" applyFont="1" applyFill="1" applyBorder="1" applyAlignment="1">
      <alignment horizontal="right"/>
    </xf>
    <xf numFmtId="166" fontId="11" fillId="10" borderId="8" xfId="8" applyNumberFormat="1" applyFont="1" applyFill="1" applyBorder="1"/>
    <xf numFmtId="9" fontId="11" fillId="10" borderId="8" xfId="83" applyFont="1" applyFill="1" applyBorder="1" applyAlignment="1">
      <alignment horizontal="right"/>
    </xf>
    <xf numFmtId="0" fontId="11" fillId="6" borderId="10" xfId="0" applyFont="1" applyFill="1" applyBorder="1"/>
    <xf numFmtId="0" fontId="0" fillId="6" borderId="58" xfId="0" applyFill="1" applyBorder="1"/>
    <xf numFmtId="0" fontId="0" fillId="6" borderId="11" xfId="0" applyFill="1" applyBorder="1"/>
    <xf numFmtId="0" fontId="11" fillId="3" borderId="10" xfId="0" applyFont="1" applyFill="1" applyBorder="1"/>
    <xf numFmtId="165" fontId="0" fillId="3" borderId="8" xfId="0" applyNumberFormat="1" applyFill="1" applyBorder="1" applyAlignment="1">
      <alignment horizontal="right"/>
    </xf>
    <xf numFmtId="9" fontId="11" fillId="2" borderId="9" xfId="83" applyFont="1" applyFill="1" applyBorder="1"/>
    <xf numFmtId="9" fontId="0" fillId="3" borderId="0" xfId="83" applyFont="1" applyFill="1" applyBorder="1" applyAlignment="1">
      <alignment horizontal="right"/>
    </xf>
    <xf numFmtId="167" fontId="0" fillId="3" borderId="0" xfId="83" applyNumberFormat="1" applyFont="1" applyFill="1" applyBorder="1" applyAlignment="1">
      <alignment horizontal="right"/>
    </xf>
    <xf numFmtId="9" fontId="0" fillId="3" borderId="0" xfId="6" applyFont="1" applyFill="1" applyBorder="1" applyAlignment="1">
      <alignment horizontal="right"/>
    </xf>
    <xf numFmtId="167" fontId="0" fillId="3" borderId="0" xfId="6" applyNumberFormat="1" applyFont="1" applyFill="1" applyBorder="1" applyAlignment="1">
      <alignment horizontal="right"/>
    </xf>
    <xf numFmtId="9" fontId="0" fillId="3" borderId="11" xfId="6" applyFont="1" applyFill="1" applyBorder="1" applyAlignment="1">
      <alignment horizontal="right"/>
    </xf>
    <xf numFmtId="167" fontId="0" fillId="3" borderId="8" xfId="6" applyNumberFormat="1" applyFont="1" applyFill="1" applyBorder="1" applyAlignment="1">
      <alignment horizontal="right"/>
    </xf>
    <xf numFmtId="0" fontId="11" fillId="3" borderId="17" xfId="0" applyFont="1" applyFill="1" applyBorder="1"/>
    <xf numFmtId="165" fontId="11" fillId="3" borderId="0" xfId="1" applyNumberFormat="1" applyFont="1" applyFill="1" applyAlignment="1">
      <alignment horizontal="center" vertical="center"/>
    </xf>
    <xf numFmtId="165" fontId="53" fillId="3" borderId="0" xfId="0" applyNumberFormat="1" applyFont="1" applyFill="1" applyAlignment="1">
      <alignment horizontal="center" vertical="center" wrapText="1"/>
    </xf>
    <xf numFmtId="166" fontId="12" fillId="9" borderId="0" xfId="138" applyNumberFormat="1" applyFont="1" applyFill="1" applyBorder="1" applyAlignment="1">
      <alignment horizontal="center"/>
    </xf>
    <xf numFmtId="0" fontId="11" fillId="2" borderId="8" xfId="0" applyFont="1" applyFill="1" applyBorder="1"/>
    <xf numFmtId="0" fontId="12" fillId="6" borderId="59" xfId="0" applyFont="1" applyFill="1" applyBorder="1"/>
    <xf numFmtId="9" fontId="0" fillId="6" borderId="58" xfId="83" applyFont="1" applyFill="1" applyBorder="1"/>
    <xf numFmtId="9" fontId="0" fillId="6" borderId="11" xfId="83" applyFont="1" applyFill="1" applyBorder="1"/>
    <xf numFmtId="166" fontId="0" fillId="9" borderId="61" xfId="138" applyNumberFormat="1" applyFont="1" applyFill="1" applyBorder="1"/>
    <xf numFmtId="9" fontId="0" fillId="3" borderId="61" xfId="83" applyFont="1" applyFill="1" applyBorder="1" applyAlignment="1">
      <alignment horizontal="right"/>
    </xf>
    <xf numFmtId="166" fontId="12" fillId="9" borderId="65" xfId="138" applyNumberFormat="1" applyFont="1" applyFill="1" applyBorder="1" applyAlignment="1">
      <alignment horizontal="center"/>
    </xf>
    <xf numFmtId="166" fontId="12" fillId="9" borderId="65" xfId="138" applyNumberFormat="1" applyFont="1" applyFill="1" applyBorder="1" applyAlignment="1">
      <alignment horizontal="center" vertical="center"/>
    </xf>
    <xf numFmtId="9" fontId="0" fillId="3" borderId="65" xfId="83" applyFont="1" applyFill="1" applyBorder="1" applyAlignment="1">
      <alignment horizontal="right"/>
    </xf>
    <xf numFmtId="166" fontId="0" fillId="9" borderId="65" xfId="138" applyNumberFormat="1" applyFont="1" applyFill="1" applyBorder="1"/>
    <xf numFmtId="166" fontId="0" fillId="9" borderId="5" xfId="138" applyNumberFormat="1" applyFont="1" applyFill="1" applyBorder="1"/>
    <xf numFmtId="9" fontId="0" fillId="3" borderId="5" xfId="83" applyFont="1" applyFill="1" applyBorder="1" applyAlignment="1">
      <alignment horizontal="right"/>
    </xf>
    <xf numFmtId="165" fontId="0" fillId="9" borderId="65" xfId="6" applyNumberFormat="1" applyFont="1" applyFill="1" applyBorder="1" applyAlignment="1">
      <alignment horizontal="right"/>
    </xf>
    <xf numFmtId="167" fontId="0" fillId="3" borderId="65" xfId="6" applyNumberFormat="1" applyFont="1" applyFill="1" applyBorder="1" applyAlignment="1">
      <alignment horizontal="right"/>
    </xf>
    <xf numFmtId="0" fontId="26" fillId="6" borderId="62" xfId="0" applyFont="1" applyFill="1" applyBorder="1" applyAlignment="1">
      <alignment vertical="center"/>
    </xf>
    <xf numFmtId="0" fontId="26" fillId="6" borderId="61" xfId="0" applyFont="1" applyFill="1" applyBorder="1" applyAlignment="1">
      <alignment vertical="center"/>
    </xf>
    <xf numFmtId="0" fontId="12" fillId="6" borderId="61" xfId="0" applyFont="1" applyFill="1" applyBorder="1"/>
    <xf numFmtId="0" fontId="0" fillId="6" borderId="61" xfId="0" applyFill="1" applyBorder="1"/>
    <xf numFmtId="0" fontId="0" fillId="6" borderId="63" xfId="0" applyFill="1" applyBorder="1"/>
    <xf numFmtId="0" fontId="0" fillId="6" borderId="64" xfId="0" applyFill="1" applyBorder="1"/>
    <xf numFmtId="0" fontId="0" fillId="6" borderId="56" xfId="0" applyFill="1" applyBorder="1"/>
    <xf numFmtId="0" fontId="12" fillId="6" borderId="64" xfId="0" applyFont="1" applyFill="1" applyBorder="1"/>
    <xf numFmtId="0" fontId="0" fillId="6" borderId="28" xfId="0" applyFill="1" applyBorder="1"/>
    <xf numFmtId="0" fontId="0" fillId="6" borderId="27" xfId="0" applyFill="1" applyBorder="1"/>
    <xf numFmtId="0" fontId="11" fillId="10" borderId="68" xfId="0" applyFont="1" applyFill="1" applyBorder="1"/>
    <xf numFmtId="0" fontId="0" fillId="10" borderId="72" xfId="0" applyFill="1" applyBorder="1"/>
    <xf numFmtId="0" fontId="11" fillId="2" borderId="72" xfId="1" applyFont="1" applyFill="1" applyBorder="1" applyAlignment="1">
      <alignment horizontal="center" vertical="center"/>
    </xf>
    <xf numFmtId="9" fontId="11" fillId="2" borderId="72" xfId="83" applyFont="1" applyFill="1" applyBorder="1" applyAlignment="1">
      <alignment horizontal="center" vertical="center"/>
    </xf>
    <xf numFmtId="0" fontId="53" fillId="2" borderId="72" xfId="0" applyFont="1" applyFill="1" applyBorder="1" applyAlignment="1" applyProtection="1">
      <alignment horizontal="center" vertical="center" wrapText="1"/>
      <protection locked="0"/>
    </xf>
    <xf numFmtId="0" fontId="53" fillId="2" borderId="72" xfId="0" applyFont="1" applyFill="1" applyBorder="1" applyAlignment="1">
      <alignment horizontal="center" vertical="center" wrapText="1"/>
    </xf>
    <xf numFmtId="0" fontId="12" fillId="6" borderId="68" xfId="0" applyFont="1" applyFill="1" applyBorder="1"/>
    <xf numFmtId="0" fontId="14" fillId="6" borderId="55" xfId="1" applyFont="1" applyFill="1" applyBorder="1" applyAlignment="1" applyProtection="1">
      <alignment vertical="center"/>
      <protection locked="0"/>
    </xf>
    <xf numFmtId="0" fontId="14" fillId="6" borderId="3" xfId="1" applyFont="1" applyFill="1" applyBorder="1" applyAlignment="1" applyProtection="1">
      <alignment vertical="center"/>
      <protection locked="0"/>
    </xf>
    <xf numFmtId="0" fontId="14" fillId="6" borderId="5" xfId="1" applyFont="1" applyFill="1" applyBorder="1" applyAlignment="1" applyProtection="1">
      <alignment vertical="center"/>
      <protection locked="0"/>
    </xf>
    <xf numFmtId="0" fontId="11" fillId="0" borderId="0" xfId="0" applyFont="1"/>
    <xf numFmtId="0" fontId="14" fillId="0" borderId="5" xfId="0" applyFont="1" applyBorder="1"/>
    <xf numFmtId="0" fontId="13" fillId="6" borderId="5" xfId="0" applyFont="1" applyFill="1" applyBorder="1" applyAlignment="1">
      <alignment vertical="center" wrapText="1"/>
    </xf>
    <xf numFmtId="0" fontId="13" fillId="6" borderId="0" xfId="0" applyFont="1" applyFill="1" applyAlignment="1">
      <alignment vertical="center" wrapText="1"/>
    </xf>
    <xf numFmtId="0" fontId="13" fillId="6" borderId="0" xfId="1" applyFont="1" applyFill="1" applyAlignment="1" applyProtection="1">
      <alignment horizontal="center" vertical="center" wrapText="1"/>
      <protection locked="0"/>
    </xf>
    <xf numFmtId="164" fontId="14" fillId="6" borderId="0" xfId="0" applyNumberFormat="1" applyFont="1" applyFill="1" applyAlignment="1">
      <alignment vertical="center"/>
    </xf>
    <xf numFmtId="164" fontId="17" fillId="10" borderId="64" xfId="0" applyNumberFormat="1" applyFont="1" applyFill="1" applyBorder="1" applyAlignment="1" applyProtection="1">
      <alignment horizontal="right" vertical="center" wrapText="1"/>
      <protection locked="0"/>
    </xf>
    <xf numFmtId="0" fontId="26" fillId="6" borderId="0" xfId="0" applyFont="1" applyFill="1" applyAlignment="1">
      <alignment vertical="center" wrapText="1"/>
    </xf>
    <xf numFmtId="0" fontId="13" fillId="6" borderId="59" xfId="1" applyFont="1" applyFill="1" applyBorder="1" applyAlignment="1" applyProtection="1">
      <alignment horizontal="left" vertical="center" wrapText="1"/>
      <protection locked="0"/>
    </xf>
    <xf numFmtId="0" fontId="13" fillId="6" borderId="8" xfId="1" applyFont="1" applyFill="1" applyBorder="1" applyAlignment="1" applyProtection="1">
      <alignment horizontal="left" vertical="center" wrapText="1"/>
      <protection locked="0"/>
    </xf>
    <xf numFmtId="0" fontId="13" fillId="6" borderId="0" xfId="1" applyFont="1" applyFill="1" applyAlignment="1" applyProtection="1">
      <alignment horizontal="left" vertical="center" wrapText="1"/>
      <protection locked="0"/>
    </xf>
    <xf numFmtId="0" fontId="13" fillId="6" borderId="0" xfId="1" applyFont="1" applyFill="1" applyAlignment="1" applyProtection="1">
      <alignment vertical="center" wrapText="1"/>
      <protection locked="0"/>
    </xf>
    <xf numFmtId="0" fontId="13" fillId="3" borderId="0" xfId="1" applyFont="1" applyFill="1" applyAlignment="1" applyProtection="1">
      <alignment vertical="center" wrapText="1"/>
      <protection locked="0"/>
    </xf>
    <xf numFmtId="0" fontId="14" fillId="6" borderId="0" xfId="1" applyFont="1" applyFill="1" applyAlignment="1" applyProtection="1">
      <alignment horizontal="left" vertical="center" wrapText="1"/>
      <protection locked="0"/>
    </xf>
    <xf numFmtId="0" fontId="14" fillId="3" borderId="0" xfId="1" applyFont="1" applyFill="1" applyAlignment="1" applyProtection="1">
      <alignment vertical="center" wrapText="1"/>
      <protection locked="0"/>
    </xf>
    <xf numFmtId="0" fontId="13" fillId="2" borderId="72" xfId="1" applyFont="1" applyFill="1" applyBorder="1" applyAlignment="1">
      <alignment vertical="center" wrapText="1"/>
    </xf>
    <xf numFmtId="0" fontId="12" fillId="6" borderId="0" xfId="1" applyFill="1" applyAlignment="1">
      <alignment vertical="center" wrapText="1"/>
    </xf>
    <xf numFmtId="0" fontId="12" fillId="6" borderId="0" xfId="0" applyFont="1" applyFill="1" applyAlignment="1">
      <alignment vertical="center" wrapText="1"/>
    </xf>
    <xf numFmtId="0" fontId="13" fillId="6" borderId="0" xfId="1" applyFont="1" applyFill="1" applyAlignment="1">
      <alignment horizontal="center" vertical="center" wrapText="1"/>
    </xf>
    <xf numFmtId="164" fontId="13" fillId="3" borderId="6" xfId="1" applyNumberFormat="1" applyFont="1" applyFill="1" applyBorder="1" applyAlignment="1" applyProtection="1">
      <alignment horizontal="center" vertical="center"/>
      <protection locked="0"/>
    </xf>
    <xf numFmtId="164" fontId="13" fillId="6" borderId="0" xfId="1" applyNumberFormat="1" applyFont="1" applyFill="1" applyAlignment="1" applyProtection="1">
      <alignment horizontal="right" vertical="center"/>
      <protection locked="0"/>
    </xf>
    <xf numFmtId="9" fontId="11" fillId="10" borderId="71" xfId="6" applyFont="1" applyFill="1" applyBorder="1" applyAlignment="1">
      <alignment horizontal="center" vertical="center"/>
    </xf>
    <xf numFmtId="9" fontId="0" fillId="3" borderId="38" xfId="6" applyFont="1" applyFill="1" applyBorder="1" applyAlignment="1">
      <alignment horizontal="right"/>
    </xf>
    <xf numFmtId="9" fontId="0" fillId="3" borderId="69" xfId="6" applyFont="1" applyFill="1" applyBorder="1" applyAlignment="1">
      <alignment horizontal="right"/>
    </xf>
    <xf numFmtId="9" fontId="0" fillId="3" borderId="26" xfId="6" applyFont="1" applyFill="1" applyBorder="1" applyAlignment="1">
      <alignment horizontal="right"/>
    </xf>
    <xf numFmtId="9" fontId="0" fillId="10" borderId="69" xfId="6" applyFont="1" applyFill="1" applyBorder="1" applyAlignment="1">
      <alignment horizontal="right"/>
    </xf>
    <xf numFmtId="9" fontId="0" fillId="10" borderId="9" xfId="6" applyFont="1" applyFill="1" applyBorder="1" applyAlignment="1">
      <alignment horizontal="right"/>
    </xf>
    <xf numFmtId="0" fontId="0" fillId="10" borderId="58" xfId="0" applyFill="1" applyBorder="1"/>
    <xf numFmtId="9" fontId="11" fillId="2" borderId="58" xfId="6" applyFont="1" applyFill="1" applyBorder="1" applyAlignment="1">
      <alignment horizontal="center" vertical="center"/>
    </xf>
    <xf numFmtId="9" fontId="0" fillId="3" borderId="9" xfId="6" applyFont="1" applyFill="1" applyBorder="1" applyAlignment="1">
      <alignment horizontal="right"/>
    </xf>
    <xf numFmtId="0" fontId="0" fillId="6" borderId="9" xfId="0" applyFill="1" applyBorder="1"/>
    <xf numFmtId="9" fontId="11" fillId="10" borderId="18" xfId="6" applyFont="1" applyFill="1" applyBorder="1" applyAlignment="1">
      <alignment horizontal="center" vertical="center"/>
    </xf>
    <xf numFmtId="9" fontId="0" fillId="3" borderId="23" xfId="6" applyFont="1" applyFill="1" applyBorder="1" applyAlignment="1">
      <alignment horizontal="right"/>
    </xf>
    <xf numFmtId="165" fontId="0" fillId="3" borderId="17" xfId="6" applyNumberFormat="1" applyFont="1" applyFill="1" applyBorder="1" applyAlignment="1">
      <alignment horizontal="right"/>
    </xf>
    <xf numFmtId="9" fontId="0" fillId="3" borderId="24" xfId="6" applyFont="1" applyFill="1" applyBorder="1" applyAlignment="1">
      <alignment horizontal="right"/>
    </xf>
    <xf numFmtId="9" fontId="0" fillId="3" borderId="17" xfId="6" applyFont="1" applyFill="1" applyBorder="1" applyAlignment="1">
      <alignment horizontal="right"/>
    </xf>
    <xf numFmtId="167" fontId="0" fillId="3" borderId="21" xfId="6" applyNumberFormat="1" applyFont="1" applyFill="1" applyBorder="1" applyAlignment="1">
      <alignment horizontal="right"/>
    </xf>
    <xf numFmtId="9" fontId="0" fillId="3" borderId="21" xfId="6" applyFont="1" applyFill="1" applyBorder="1" applyAlignment="1">
      <alignment horizontal="right"/>
    </xf>
    <xf numFmtId="9" fontId="11" fillId="10" borderId="17" xfId="6" applyFont="1" applyFill="1" applyBorder="1" applyAlignment="1">
      <alignment horizontal="right"/>
    </xf>
    <xf numFmtId="9" fontId="11" fillId="10" borderId="10" xfId="6" applyFont="1" applyFill="1" applyBorder="1" applyAlignment="1">
      <alignment horizontal="right"/>
    </xf>
    <xf numFmtId="0" fontId="0" fillId="10" borderId="59" xfId="0" applyFill="1" applyBorder="1"/>
    <xf numFmtId="9" fontId="11" fillId="2" borderId="18" xfId="6" applyFont="1" applyFill="1" applyBorder="1" applyAlignment="1">
      <alignment horizontal="center" vertical="center"/>
    </xf>
    <xf numFmtId="167" fontId="0" fillId="3" borderId="17" xfId="6" applyNumberFormat="1" applyFont="1" applyFill="1" applyBorder="1" applyAlignment="1">
      <alignment horizontal="right"/>
    </xf>
    <xf numFmtId="167" fontId="0" fillId="3" borderId="10" xfId="6" applyNumberFormat="1" applyFont="1" applyFill="1" applyBorder="1" applyAlignment="1">
      <alignment horizontal="right"/>
    </xf>
    <xf numFmtId="9" fontId="11" fillId="2" borderId="68" xfId="6" applyFont="1" applyFill="1" applyBorder="1" applyAlignment="1">
      <alignment horizontal="center" vertical="center"/>
    </xf>
    <xf numFmtId="0" fontId="24" fillId="0" borderId="57" xfId="1" applyFont="1" applyBorder="1" applyAlignment="1">
      <alignment horizontal="left" vertical="top" wrapText="1"/>
    </xf>
    <xf numFmtId="0" fontId="13" fillId="0" borderId="57" xfId="1" applyFont="1" applyBorder="1" applyAlignment="1">
      <alignment horizontal="left" vertical="top" wrapText="1"/>
    </xf>
    <xf numFmtId="0" fontId="41" fillId="0" borderId="1" xfId="1" applyFont="1" applyBorder="1" applyAlignment="1">
      <alignment horizontal="left" vertical="center" wrapText="1"/>
    </xf>
    <xf numFmtId="0" fontId="13" fillId="6" borderId="0" xfId="1" applyFont="1" applyFill="1" applyAlignment="1">
      <alignment vertical="center" wrapText="1"/>
    </xf>
    <xf numFmtId="0" fontId="14" fillId="6" borderId="27" xfId="1" applyFont="1" applyFill="1" applyBorder="1" applyAlignment="1">
      <alignment vertical="center" wrapText="1"/>
    </xf>
    <xf numFmtId="0" fontId="41" fillId="0" borderId="55" xfId="1" applyFont="1" applyBorder="1" applyAlignment="1">
      <alignment horizontal="left" vertical="top" wrapText="1"/>
    </xf>
    <xf numFmtId="0" fontId="69" fillId="0" borderId="1" xfId="1" applyFont="1" applyBorder="1" applyAlignment="1">
      <alignment horizontal="left" vertical="top" wrapText="1"/>
    </xf>
    <xf numFmtId="0" fontId="41" fillId="0" borderId="57" xfId="1" applyFont="1" applyBorder="1" applyAlignment="1">
      <alignment horizontal="left" vertical="top" wrapText="1"/>
    </xf>
    <xf numFmtId="0" fontId="41" fillId="0" borderId="2" xfId="1" applyFont="1" applyBorder="1" applyAlignment="1">
      <alignment horizontal="left" vertical="top" wrapText="1"/>
    </xf>
    <xf numFmtId="0" fontId="17" fillId="0" borderId="55" xfId="0" applyFont="1" applyBorder="1" applyAlignment="1">
      <alignment vertical="center" wrapText="1"/>
    </xf>
    <xf numFmtId="0" fontId="17" fillId="0" borderId="4" xfId="0" applyFont="1" applyBorder="1" applyAlignment="1">
      <alignment vertical="center" wrapText="1"/>
    </xf>
    <xf numFmtId="0" fontId="75" fillId="0" borderId="1" xfId="0" applyFont="1" applyBorder="1"/>
    <xf numFmtId="0" fontId="75" fillId="0" borderId="0" xfId="0" applyFont="1"/>
    <xf numFmtId="0" fontId="13" fillId="0" borderId="2" xfId="0" applyFont="1" applyBorder="1"/>
    <xf numFmtId="0" fontId="14" fillId="0" borderId="55" xfId="0" applyFont="1" applyBorder="1"/>
    <xf numFmtId="165" fontId="14" fillId="0" borderId="55" xfId="83" applyNumberFormat="1" applyFont="1" applyBorder="1"/>
    <xf numFmtId="0" fontId="77" fillId="0" borderId="0" xfId="0" applyFont="1"/>
    <xf numFmtId="0" fontId="76" fillId="0" borderId="1" xfId="0" applyFont="1" applyBorder="1" applyAlignment="1">
      <alignment horizontal="center"/>
    </xf>
    <xf numFmtId="0" fontId="76" fillId="0" borderId="2" xfId="0" applyFont="1" applyBorder="1" applyAlignment="1">
      <alignment horizontal="center"/>
    </xf>
    <xf numFmtId="0" fontId="76" fillId="0" borderId="0" xfId="0" applyFont="1"/>
    <xf numFmtId="0" fontId="12" fillId="0" borderId="55" xfId="0" applyFont="1" applyBorder="1" applyAlignment="1">
      <alignment wrapText="1"/>
    </xf>
    <xf numFmtId="0" fontId="14" fillId="6" borderId="1" xfId="1" applyFont="1" applyFill="1" applyBorder="1" applyAlignment="1">
      <alignment vertical="center" wrapText="1"/>
    </xf>
    <xf numFmtId="0" fontId="15" fillId="0" borderId="0" xfId="0" applyFont="1" applyAlignment="1">
      <alignment horizontal="left" vertical="center"/>
    </xf>
    <xf numFmtId="0" fontId="26" fillId="0" borderId="0" xfId="1" applyFont="1" applyAlignment="1">
      <alignment horizontal="left" vertical="center"/>
    </xf>
    <xf numFmtId="0" fontId="28" fillId="0" borderId="0" xfId="12" applyFont="1" applyAlignment="1">
      <alignment horizontal="left"/>
    </xf>
    <xf numFmtId="0" fontId="26" fillId="6" borderId="0" xfId="0" applyFont="1" applyFill="1" applyAlignment="1">
      <alignment horizontal="left" vertical="center"/>
    </xf>
    <xf numFmtId="0" fontId="13" fillId="6" borderId="0" xfId="1" applyFont="1" applyFill="1" applyAlignment="1">
      <alignment horizontal="left" vertical="center" wrapText="1"/>
    </xf>
    <xf numFmtId="0" fontId="30" fillId="5" borderId="15" xfId="0" applyFont="1" applyFill="1" applyBorder="1" applyAlignment="1">
      <alignment horizontal="center" vertical="center" wrapText="1"/>
    </xf>
    <xf numFmtId="0" fontId="11" fillId="2" borderId="55" xfId="0" applyFont="1" applyFill="1" applyBorder="1" applyAlignment="1">
      <alignment horizontal="center" vertical="center"/>
    </xf>
    <xf numFmtId="0" fontId="12" fillId="6" borderId="32" xfId="0" applyFont="1" applyFill="1" applyBorder="1" applyAlignment="1">
      <alignment horizontal="left" vertical="center" wrapText="1"/>
    </xf>
    <xf numFmtId="0" fontId="12" fillId="6" borderId="0" xfId="0" applyFont="1" applyFill="1" applyAlignment="1">
      <alignment horizontal="left" vertical="center" wrapText="1"/>
    </xf>
    <xf numFmtId="10" fontId="13" fillId="6" borderId="7" xfId="1" applyNumberFormat="1" applyFont="1" applyFill="1" applyBorder="1" applyAlignment="1" applyProtection="1">
      <alignment horizontal="right" vertical="center"/>
      <protection locked="0"/>
    </xf>
    <xf numFmtId="0" fontId="29" fillId="0" borderId="47" xfId="0" applyFont="1" applyBorder="1" applyAlignment="1">
      <alignment vertical="center" wrapText="1"/>
    </xf>
    <xf numFmtId="164" fontId="12" fillId="6" borderId="0" xfId="0" applyNumberFormat="1" applyFont="1" applyFill="1" applyAlignment="1">
      <alignment vertical="center"/>
    </xf>
    <xf numFmtId="0" fontId="38"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3" xfId="0" applyFont="1" applyBorder="1" applyAlignment="1">
      <alignment horizontal="left" vertical="center"/>
    </xf>
    <xf numFmtId="0" fontId="22" fillId="0" borderId="11" xfId="0" applyFont="1" applyBorder="1" applyAlignment="1">
      <alignment horizontal="left" vertical="center"/>
    </xf>
    <xf numFmtId="49" fontId="21" fillId="0" borderId="10" xfId="0" applyNumberFormat="1" applyFont="1" applyBorder="1" applyAlignment="1">
      <alignment horizontal="left" vertical="center"/>
    </xf>
    <xf numFmtId="49" fontId="21" fillId="0" borderId="8" xfId="0" applyNumberFormat="1" applyFont="1" applyBorder="1" applyAlignment="1">
      <alignment horizontal="left" vertical="center"/>
    </xf>
    <xf numFmtId="49" fontId="21" fillId="0" borderId="9" xfId="0" applyNumberFormat="1" applyFont="1" applyBorder="1" applyAlignment="1">
      <alignment horizontal="left" vertical="center"/>
    </xf>
    <xf numFmtId="0" fontId="36" fillId="0" borderId="14" xfId="7" applyBorder="1" applyAlignment="1">
      <alignment horizontal="left" vertical="center"/>
    </xf>
    <xf numFmtId="0" fontId="36" fillId="0" borderId="15" xfId="7" applyBorder="1" applyAlignment="1">
      <alignment horizontal="left" vertical="center"/>
    </xf>
    <xf numFmtId="0" fontId="36" fillId="0" borderId="13" xfId="7" applyBorder="1" applyAlignment="1">
      <alignment horizontal="left" vertical="center"/>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22" fillId="0" borderId="13" xfId="0" applyFont="1" applyBorder="1" applyAlignment="1">
      <alignment horizontal="left" vertical="center"/>
    </xf>
    <xf numFmtId="0" fontId="51" fillId="2" borderId="62" xfId="0" applyFont="1" applyFill="1" applyBorder="1" applyAlignment="1">
      <alignment horizontal="center" wrapText="1"/>
    </xf>
    <xf numFmtId="0" fontId="51" fillId="2" borderId="61" xfId="0" applyFont="1" applyFill="1" applyBorder="1" applyAlignment="1">
      <alignment horizontal="center" wrapText="1"/>
    </xf>
    <xf numFmtId="0" fontId="51" fillId="2" borderId="63" xfId="0" applyFont="1" applyFill="1" applyBorder="1" applyAlignment="1">
      <alignment horizontal="center" wrapText="1"/>
    </xf>
    <xf numFmtId="0" fontId="17" fillId="2" borderId="3" xfId="0" applyFont="1" applyFill="1" applyBorder="1" applyAlignment="1">
      <alignment horizontal="center" wrapText="1"/>
    </xf>
    <xf numFmtId="0" fontId="17" fillId="2" borderId="5" xfId="0" applyFont="1" applyFill="1" applyBorder="1" applyAlignment="1">
      <alignment horizontal="center" wrapText="1"/>
    </xf>
    <xf numFmtId="0" fontId="17" fillId="2" borderId="4" xfId="0" applyFont="1" applyFill="1" applyBorder="1" applyAlignment="1">
      <alignment horizontal="center" wrapText="1"/>
    </xf>
    <xf numFmtId="0" fontId="35" fillId="6" borderId="17" xfId="0" applyFont="1" applyFill="1" applyBorder="1" applyAlignment="1">
      <alignment horizontal="left" vertical="center" wrapText="1"/>
    </xf>
    <xf numFmtId="0" fontId="35" fillId="6" borderId="0" xfId="0" applyFont="1" applyFill="1" applyAlignment="1">
      <alignment horizontal="left" vertical="center" wrapText="1"/>
    </xf>
    <xf numFmtId="0" fontId="26" fillId="0" borderId="0" xfId="1" applyFont="1" applyAlignment="1">
      <alignment horizontal="left" vertical="center"/>
    </xf>
    <xf numFmtId="0" fontId="11" fillId="2" borderId="55" xfId="1" applyFont="1" applyFill="1" applyBorder="1" applyAlignment="1">
      <alignment horizontal="center" vertical="center"/>
    </xf>
    <xf numFmtId="0" fontId="17" fillId="0" borderId="3" xfId="1" applyFont="1" applyBorder="1" applyAlignment="1">
      <alignment horizontal="left" vertical="center" wrapText="1"/>
    </xf>
    <xf numFmtId="0" fontId="17" fillId="0" borderId="5" xfId="1" applyFont="1" applyBorder="1" applyAlignment="1">
      <alignment horizontal="left" vertical="center" wrapText="1"/>
    </xf>
    <xf numFmtId="0" fontId="17" fillId="0" borderId="4" xfId="1"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165" fontId="16" fillId="0" borderId="1" xfId="83" applyNumberFormat="1" applyFont="1" applyFill="1" applyBorder="1" applyAlignment="1">
      <alignment horizontal="center" vertical="center" wrapText="1"/>
    </xf>
    <xf numFmtId="165" fontId="16" fillId="0" borderId="57" xfId="83" applyNumberFormat="1" applyFont="1" applyFill="1" applyBorder="1" applyAlignment="1">
      <alignment horizontal="center" vertical="center" wrapText="1"/>
    </xf>
    <xf numFmtId="165" fontId="16" fillId="0" borderId="67" xfId="83" applyNumberFormat="1" applyFont="1" applyFill="1" applyBorder="1" applyAlignment="1">
      <alignment horizontal="center" vertical="center" wrapText="1"/>
    </xf>
    <xf numFmtId="0" fontId="16" fillId="0" borderId="3" xfId="12" applyFont="1" applyBorder="1" applyAlignment="1">
      <alignment horizontal="center" vertical="center" wrapText="1"/>
    </xf>
    <xf numFmtId="0" fontId="16" fillId="0" borderId="5" xfId="12" applyFont="1" applyBorder="1" applyAlignment="1">
      <alignment horizontal="center" vertical="center" wrapText="1"/>
    </xf>
    <xf numFmtId="0" fontId="16" fillId="0" borderId="4" xfId="12" applyFont="1" applyBorder="1" applyAlignment="1">
      <alignment horizontal="center" vertical="center" wrapText="1"/>
    </xf>
    <xf numFmtId="0" fontId="16" fillId="0" borderId="25" xfId="12" applyFont="1" applyBorder="1" applyAlignment="1">
      <alignment horizontal="center" vertical="center" wrapText="1"/>
    </xf>
    <xf numFmtId="0" fontId="16" fillId="0" borderId="12" xfId="12" applyFont="1" applyBorder="1" applyAlignment="1">
      <alignment horizontal="center" vertical="center" wrapText="1"/>
    </xf>
    <xf numFmtId="0" fontId="16" fillId="0" borderId="7" xfId="12" applyFont="1" applyBorder="1" applyAlignment="1">
      <alignment horizontal="center" vertical="center" wrapText="1"/>
    </xf>
    <xf numFmtId="0" fontId="11" fillId="0" borderId="18" xfId="1" applyFont="1" applyBorder="1" applyAlignment="1">
      <alignment horizontal="center" vertical="center"/>
    </xf>
    <xf numFmtId="0" fontId="11" fillId="0" borderId="58" xfId="1" applyFont="1" applyBorder="1" applyAlignment="1">
      <alignment horizontal="center" vertical="center"/>
    </xf>
    <xf numFmtId="0" fontId="11" fillId="0" borderId="10" xfId="1" applyFont="1" applyBorder="1" applyAlignment="1">
      <alignment horizontal="center" vertical="center"/>
    </xf>
    <xf numFmtId="0" fontId="11" fillId="0" borderId="9" xfId="1" applyFont="1" applyBorder="1" applyAlignment="1">
      <alignment horizontal="center" vertical="center"/>
    </xf>
    <xf numFmtId="0" fontId="16" fillId="0" borderId="55" xfId="12" applyFont="1" applyBorder="1" applyAlignment="1">
      <alignment horizontal="center" vertical="center" wrapText="1"/>
    </xf>
    <xf numFmtId="0" fontId="16" fillId="0" borderId="17" xfId="12" applyFont="1" applyBorder="1" applyAlignment="1">
      <alignment horizontal="center" vertical="center" wrapText="1"/>
    </xf>
    <xf numFmtId="0" fontId="16" fillId="0" borderId="10" xfId="12" applyFont="1" applyBorder="1" applyAlignment="1">
      <alignment horizontal="center" vertical="center" wrapText="1"/>
    </xf>
    <xf numFmtId="0" fontId="16" fillId="0" borderId="22" xfId="12" applyFont="1" applyBorder="1" applyAlignment="1">
      <alignment horizontal="center" vertical="center" wrapText="1"/>
    </xf>
    <xf numFmtId="0" fontId="16" fillId="0" borderId="19" xfId="12" applyFont="1" applyBorder="1" applyAlignment="1">
      <alignment horizontal="center" vertical="center" wrapText="1"/>
    </xf>
    <xf numFmtId="0" fontId="16" fillId="0" borderId="20" xfId="12" applyFont="1" applyBorder="1" applyAlignment="1">
      <alignment horizontal="center" vertical="center" wrapText="1"/>
    </xf>
    <xf numFmtId="0" fontId="12" fillId="0" borderId="59" xfId="1" applyBorder="1" applyAlignment="1">
      <alignment horizontal="center"/>
    </xf>
    <xf numFmtId="0" fontId="43" fillId="0" borderId="0" xfId="0" applyFont="1" applyAlignment="1">
      <alignment horizontal="left" vertical="center" wrapText="1"/>
    </xf>
    <xf numFmtId="0" fontId="14" fillId="0" borderId="59" xfId="1" applyFont="1" applyBorder="1" applyAlignment="1">
      <alignment horizontal="center"/>
    </xf>
    <xf numFmtId="0" fontId="22" fillId="0" borderId="0" xfId="1" applyFont="1" applyAlignment="1">
      <alignment horizontal="left" vertical="center"/>
    </xf>
    <xf numFmtId="0" fontId="11" fillId="0" borderId="59" xfId="1" applyFont="1" applyBorder="1" applyAlignment="1">
      <alignment horizontal="center" vertical="center"/>
    </xf>
    <xf numFmtId="0" fontId="11" fillId="0" borderId="8" xfId="1" applyFont="1" applyBorder="1" applyAlignment="1">
      <alignment horizontal="center" vertical="center"/>
    </xf>
    <xf numFmtId="0" fontId="17" fillId="0" borderId="59" xfId="1" applyFont="1" applyBorder="1" applyAlignment="1">
      <alignment horizontal="center" vertical="center" wrapText="1"/>
    </xf>
    <xf numFmtId="0" fontId="16" fillId="0" borderId="21" xfId="12" applyFont="1" applyBorder="1" applyAlignment="1">
      <alignment horizontal="center" vertical="center" wrapText="1"/>
    </xf>
    <xf numFmtId="0" fontId="16" fillId="0" borderId="23" xfId="12" applyFont="1" applyBorder="1" applyAlignment="1">
      <alignment horizontal="center" vertical="center" wrapText="1"/>
    </xf>
    <xf numFmtId="0" fontId="16" fillId="0" borderId="24" xfId="12" applyFont="1" applyBorder="1" applyAlignment="1">
      <alignment horizontal="center" vertical="center" wrapText="1"/>
    </xf>
    <xf numFmtId="0" fontId="16" fillId="0" borderId="60" xfId="12" applyFont="1" applyBorder="1" applyAlignment="1">
      <alignment horizontal="center" vertical="center" wrapText="1"/>
    </xf>
    <xf numFmtId="0" fontId="54" fillId="0" borderId="56" xfId="1" applyFont="1" applyBorder="1" applyAlignment="1">
      <alignment horizontal="left" vertical="center" wrapText="1"/>
    </xf>
    <xf numFmtId="0" fontId="54" fillId="0" borderId="0" xfId="1" applyFont="1" applyAlignment="1">
      <alignment horizontal="left" vertical="center" wrapText="1"/>
    </xf>
    <xf numFmtId="0" fontId="16" fillId="7" borderId="17" xfId="1" applyFont="1" applyFill="1" applyBorder="1" applyAlignment="1">
      <alignment horizontal="left" vertical="center" wrapText="1"/>
    </xf>
    <xf numFmtId="0" fontId="16" fillId="7" borderId="0" xfId="1" applyFont="1" applyFill="1" applyAlignment="1">
      <alignment horizontal="left" vertical="center" wrapText="1"/>
    </xf>
    <xf numFmtId="0" fontId="28" fillId="0" borderId="17" xfId="12" applyFont="1" applyBorder="1" applyAlignment="1">
      <alignment horizontal="left"/>
    </xf>
    <xf numFmtId="0" fontId="28" fillId="0" borderId="0" xfId="12" applyFont="1" applyAlignment="1">
      <alignment horizontal="left"/>
    </xf>
    <xf numFmtId="0" fontId="13" fillId="6" borderId="3" xfId="1" applyFont="1" applyFill="1" applyBorder="1" applyAlignment="1" applyProtection="1">
      <alignment horizontal="center" vertical="center" wrapText="1"/>
      <protection locked="0"/>
    </xf>
    <xf numFmtId="0" fontId="13" fillId="6" borderId="4" xfId="1" applyFont="1" applyFill="1" applyBorder="1" applyAlignment="1" applyProtection="1">
      <alignment horizontal="center" vertical="center" wrapText="1"/>
      <protection locked="0"/>
    </xf>
    <xf numFmtId="0" fontId="52" fillId="6" borderId="3" xfId="1" applyFont="1" applyFill="1" applyBorder="1" applyAlignment="1" applyProtection="1">
      <alignment horizontal="center" vertical="center"/>
      <protection locked="0"/>
    </xf>
    <xf numFmtId="0" fontId="52" fillId="6" borderId="5" xfId="1" applyFont="1" applyFill="1" applyBorder="1" applyAlignment="1" applyProtection="1">
      <alignment horizontal="center" vertical="center"/>
      <protection locked="0"/>
    </xf>
    <xf numFmtId="0" fontId="26" fillId="6" borderId="0" xfId="0" applyFont="1" applyFill="1" applyAlignment="1">
      <alignment horizontal="left" vertical="center"/>
    </xf>
    <xf numFmtId="0" fontId="78" fillId="6" borderId="0" xfId="1" applyFont="1" applyFill="1" applyAlignment="1">
      <alignment horizontal="left" vertical="center" wrapText="1"/>
    </xf>
    <xf numFmtId="0" fontId="13" fillId="6" borderId="0" xfId="1" applyFont="1" applyFill="1" applyAlignment="1">
      <alignment horizontal="left" vertical="center" wrapText="1"/>
    </xf>
    <xf numFmtId="0" fontId="13" fillId="6" borderId="8" xfId="1" applyFont="1" applyFill="1" applyBorder="1" applyAlignment="1">
      <alignment vertical="center" wrapText="1"/>
    </xf>
    <xf numFmtId="0" fontId="30" fillId="2" borderId="3"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1" xfId="0" applyFont="1" applyFill="1" applyBorder="1" applyAlignment="1">
      <alignment horizontal="center" vertical="center" wrapText="1"/>
    </xf>
    <xf numFmtId="0" fontId="30" fillId="2" borderId="2" xfId="0" applyFont="1" applyFill="1" applyBorder="1" applyAlignment="1">
      <alignment horizontal="center" vertical="center" wrapText="1"/>
    </xf>
    <xf numFmtId="164" fontId="13" fillId="6" borderId="3" xfId="1" applyNumberFormat="1" applyFont="1" applyFill="1" applyBorder="1" applyAlignment="1" applyProtection="1">
      <alignment horizontal="center" vertical="center"/>
      <protection locked="0"/>
    </xf>
    <xf numFmtId="164" fontId="13" fillId="6" borderId="5" xfId="1" applyNumberFormat="1" applyFont="1" applyFill="1" applyBorder="1" applyAlignment="1" applyProtection="1">
      <alignment horizontal="center" vertical="center"/>
      <protection locked="0"/>
    </xf>
    <xf numFmtId="164" fontId="13" fillId="6" borderId="4" xfId="1" applyNumberFormat="1" applyFont="1" applyFill="1" applyBorder="1" applyAlignment="1" applyProtection="1">
      <alignment horizontal="center" vertical="center"/>
      <protection locked="0"/>
    </xf>
    <xf numFmtId="0" fontId="11" fillId="10" borderId="18" xfId="0" applyFont="1" applyFill="1" applyBorder="1" applyAlignment="1">
      <alignment horizontal="left" vertical="center" wrapText="1"/>
    </xf>
    <xf numFmtId="0" fontId="11" fillId="10" borderId="17" xfId="0" applyFont="1" applyFill="1" applyBorder="1" applyAlignment="1">
      <alignment horizontal="left" vertical="center" wrapText="1"/>
    </xf>
    <xf numFmtId="0" fontId="11" fillId="10" borderId="10" xfId="0" applyFont="1" applyFill="1" applyBorder="1" applyAlignment="1">
      <alignment horizontal="left" vertical="center" wrapText="1"/>
    </xf>
    <xf numFmtId="0" fontId="26" fillId="6" borderId="56" xfId="0" applyFont="1" applyFill="1" applyBorder="1" applyAlignment="1">
      <alignment horizontal="left" vertical="center"/>
    </xf>
    <xf numFmtId="0" fontId="11" fillId="6" borderId="8" xfId="0" applyFont="1" applyFill="1" applyBorder="1" applyAlignment="1">
      <alignment horizontal="center"/>
    </xf>
    <xf numFmtId="0" fontId="18" fillId="0" borderId="56" xfId="0" applyFont="1" applyBorder="1" applyAlignment="1">
      <alignment horizontal="left" vertical="center" wrapText="1"/>
    </xf>
    <xf numFmtId="0" fontId="18" fillId="0" borderId="0" xfId="0" applyFont="1" applyAlignment="1">
      <alignment horizontal="left" vertical="center" wrapText="1"/>
    </xf>
    <xf numFmtId="0" fontId="12" fillId="0" borderId="0" xfId="1" applyAlignment="1">
      <alignment horizontal="left"/>
    </xf>
    <xf numFmtId="0" fontId="30" fillId="5" borderId="14"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30" fillId="5" borderId="48" xfId="0" applyFont="1" applyFill="1" applyBorder="1" applyAlignment="1">
      <alignment horizontal="center" vertical="center" wrapText="1"/>
    </xf>
    <xf numFmtId="0" fontId="26" fillId="0" borderId="0" xfId="0" applyFont="1" applyAlignment="1">
      <alignment horizontal="left" vertical="center"/>
    </xf>
    <xf numFmtId="0" fontId="11" fillId="2" borderId="6"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8" fillId="0" borderId="8" xfId="0" applyFont="1" applyBorder="1" applyAlignment="1">
      <alignment horizontal="left" vertical="center" wrapText="1"/>
    </xf>
    <xf numFmtId="0" fontId="11" fillId="2" borderId="33"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20" fillId="0" borderId="37" xfId="0" applyFont="1" applyBorder="1" applyAlignment="1">
      <alignment horizontal="center" vertical="center"/>
    </xf>
    <xf numFmtId="0" fontId="20" fillId="0" borderId="15" xfId="0" applyFont="1" applyBorder="1" applyAlignment="1">
      <alignment horizontal="center" vertical="center"/>
    </xf>
    <xf numFmtId="0" fontId="11" fillId="2" borderId="32" xfId="0" applyFont="1" applyFill="1" applyBorder="1" applyAlignment="1">
      <alignment horizontal="center" vertical="center"/>
    </xf>
    <xf numFmtId="0" fontId="31" fillId="2" borderId="32"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17" xfId="0" applyFont="1" applyFill="1" applyBorder="1" applyAlignment="1">
      <alignment horizontal="center" vertical="center"/>
    </xf>
    <xf numFmtId="0" fontId="31" fillId="2" borderId="10" xfId="0" applyFont="1" applyFill="1" applyBorder="1" applyAlignment="1">
      <alignment horizontal="center" vertical="center"/>
    </xf>
    <xf numFmtId="0" fontId="34" fillId="6" borderId="4" xfId="2" applyFont="1" applyFill="1" applyBorder="1" applyAlignment="1" applyProtection="1">
      <alignment horizontal="left" vertical="center"/>
    </xf>
    <xf numFmtId="0" fontId="34" fillId="6" borderId="55" xfId="2" applyFont="1" applyFill="1" applyBorder="1" applyAlignment="1" applyProtection="1">
      <alignment horizontal="left" vertical="center"/>
    </xf>
    <xf numFmtId="0" fontId="34" fillId="6" borderId="33" xfId="2" applyFont="1" applyFill="1" applyBorder="1" applyAlignment="1" applyProtection="1">
      <alignment horizontal="left" vertical="center"/>
    </xf>
    <xf numFmtId="0" fontId="34" fillId="6" borderId="27" xfId="2" applyFont="1" applyFill="1" applyBorder="1" applyAlignment="1" applyProtection="1">
      <alignment horizontal="left" vertical="center"/>
    </xf>
    <xf numFmtId="0" fontId="34" fillId="6" borderId="2" xfId="2" applyFont="1" applyFill="1" applyBorder="1" applyAlignment="1" applyProtection="1">
      <alignment horizontal="left" vertical="center"/>
    </xf>
    <xf numFmtId="0" fontId="34" fillId="6" borderId="41" xfId="2" applyFont="1" applyFill="1" applyBorder="1" applyAlignment="1" applyProtection="1">
      <alignment horizontal="left" vertical="center"/>
    </xf>
    <xf numFmtId="0" fontId="19" fillId="2" borderId="4" xfId="0" applyFont="1" applyFill="1" applyBorder="1" applyAlignment="1">
      <alignment horizontal="left" vertical="center"/>
    </xf>
    <xf numFmtId="0" fontId="19" fillId="2" borderId="55" xfId="0" applyFont="1" applyFill="1" applyBorder="1" applyAlignment="1">
      <alignment horizontal="left" vertical="center"/>
    </xf>
    <xf numFmtId="0" fontId="19" fillId="2" borderId="33" xfId="0" applyFont="1" applyFill="1" applyBorder="1" applyAlignment="1">
      <alignment horizontal="left" vertical="center"/>
    </xf>
    <xf numFmtId="0" fontId="12" fillId="2" borderId="4" xfId="2" applyFont="1" applyFill="1" applyBorder="1" applyAlignment="1" applyProtection="1">
      <alignment horizontal="left" vertical="center"/>
    </xf>
    <xf numFmtId="0" fontId="12" fillId="2" borderId="55" xfId="2" applyFont="1" applyFill="1" applyBorder="1" applyAlignment="1" applyProtection="1">
      <alignment horizontal="left" vertical="center"/>
    </xf>
    <xf numFmtId="0" fontId="12" fillId="2" borderId="33" xfId="2" applyFont="1" applyFill="1" applyBorder="1" applyAlignment="1" applyProtection="1">
      <alignment horizontal="left" vertical="center"/>
    </xf>
    <xf numFmtId="0" fontId="34" fillId="6" borderId="45" xfId="2" applyFont="1" applyFill="1" applyBorder="1" applyAlignment="1" applyProtection="1">
      <alignment horizontal="left" vertical="center"/>
    </xf>
    <xf numFmtId="0" fontId="34" fillId="6" borderId="35" xfId="2" applyFont="1" applyFill="1" applyBorder="1" applyAlignment="1" applyProtection="1">
      <alignment horizontal="left" vertical="center"/>
    </xf>
    <xf numFmtId="0" fontId="34" fillId="6" borderId="36" xfId="2" applyFont="1" applyFill="1" applyBorder="1" applyAlignment="1" applyProtection="1">
      <alignment horizontal="left" vertical="center"/>
    </xf>
    <xf numFmtId="0" fontId="34" fillId="0" borderId="4" xfId="2" applyFont="1" applyFill="1" applyBorder="1" applyAlignment="1" applyProtection="1">
      <alignment horizontal="left" vertical="center"/>
    </xf>
    <xf numFmtId="0" fontId="34" fillId="0" borderId="55" xfId="2" applyFont="1" applyFill="1" applyBorder="1" applyAlignment="1" applyProtection="1">
      <alignment horizontal="left" vertical="center"/>
    </xf>
    <xf numFmtId="0" fontId="34" fillId="0" borderId="33" xfId="2" applyFont="1" applyFill="1" applyBorder="1" applyAlignment="1" applyProtection="1">
      <alignment horizontal="left" vertical="center"/>
    </xf>
    <xf numFmtId="0" fontId="12" fillId="6" borderId="34" xfId="0" applyFont="1" applyFill="1" applyBorder="1" applyAlignment="1">
      <alignment horizontal="left" vertical="center" wrapText="1"/>
    </xf>
    <xf numFmtId="0" fontId="12" fillId="6" borderId="35" xfId="0" applyFont="1" applyFill="1" applyBorder="1" applyAlignment="1">
      <alignment horizontal="left" vertical="center" wrapText="1"/>
    </xf>
    <xf numFmtId="0" fontId="12" fillId="6" borderId="36" xfId="0" applyFont="1" applyFill="1" applyBorder="1" applyAlignment="1">
      <alignment horizontal="left" vertical="center" wrapText="1"/>
    </xf>
    <xf numFmtId="0" fontId="12" fillId="6" borderId="32" xfId="0" applyFont="1" applyFill="1" applyBorder="1" applyAlignment="1">
      <alignment horizontal="left" vertical="center" wrapText="1"/>
    </xf>
    <xf numFmtId="0" fontId="12" fillId="6" borderId="55" xfId="0" applyFont="1" applyFill="1" applyBorder="1" applyAlignment="1">
      <alignment horizontal="left" vertical="center" wrapText="1"/>
    </xf>
    <xf numFmtId="0" fontId="12" fillId="6" borderId="33" xfId="0" applyFont="1" applyFill="1" applyBorder="1" applyAlignment="1">
      <alignment horizontal="left" vertical="center" wrapText="1"/>
    </xf>
    <xf numFmtId="0" fontId="12" fillId="0" borderId="32" xfId="0" applyFont="1" applyBorder="1" applyAlignment="1">
      <alignment horizontal="left" vertical="center" indent="2"/>
    </xf>
    <xf numFmtId="0" fontId="12" fillId="0" borderId="55" xfId="0" applyFont="1" applyBorder="1" applyAlignment="1">
      <alignment horizontal="left" vertical="center" indent="2"/>
    </xf>
    <xf numFmtId="0" fontId="12" fillId="0" borderId="33" xfId="0" applyFont="1" applyBorder="1" applyAlignment="1">
      <alignment horizontal="left" vertical="center" indent="2"/>
    </xf>
    <xf numFmtId="0" fontId="12" fillId="6" borderId="32" xfId="0" applyFont="1" applyFill="1" applyBorder="1" applyAlignment="1">
      <alignment horizontal="left" vertical="center" indent="2"/>
    </xf>
    <xf numFmtId="0" fontId="12" fillId="6" borderId="55" xfId="0" applyFont="1" applyFill="1" applyBorder="1" applyAlignment="1">
      <alignment horizontal="left" vertical="center" indent="2"/>
    </xf>
    <xf numFmtId="0" fontId="12" fillId="6" borderId="33" xfId="0" applyFont="1" applyFill="1" applyBorder="1" applyAlignment="1">
      <alignment horizontal="left" vertical="center" indent="2"/>
    </xf>
    <xf numFmtId="0" fontId="11" fillId="2" borderId="26"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2" fillId="6" borderId="23"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6" borderId="38" xfId="0" applyFont="1" applyFill="1" applyBorder="1" applyAlignment="1">
      <alignment horizontal="left" vertical="center" wrapText="1"/>
    </xf>
    <xf numFmtId="0" fontId="37" fillId="6" borderId="4" xfId="7" applyFont="1" applyFill="1" applyBorder="1" applyAlignment="1" applyProtection="1">
      <alignment horizontal="left" vertical="center"/>
    </xf>
    <xf numFmtId="0" fontId="37" fillId="6" borderId="55" xfId="7" applyFont="1" applyFill="1" applyBorder="1" applyAlignment="1" applyProtection="1">
      <alignment horizontal="left" vertical="center"/>
    </xf>
    <xf numFmtId="0" fontId="37" fillId="6" borderId="33" xfId="7" applyFont="1" applyFill="1" applyBorder="1" applyAlignment="1" applyProtection="1">
      <alignment horizontal="left" vertical="center"/>
    </xf>
    <xf numFmtId="0" fontId="37" fillId="6" borderId="27" xfId="7" applyFont="1" applyFill="1" applyBorder="1" applyAlignment="1" applyProtection="1">
      <alignment horizontal="left" vertical="center"/>
    </xf>
    <xf numFmtId="0" fontId="37" fillId="6" borderId="2" xfId="7" applyFont="1" applyFill="1" applyBorder="1" applyAlignment="1" applyProtection="1">
      <alignment horizontal="left" vertical="center"/>
    </xf>
    <xf numFmtId="0" fontId="37" fillId="6" borderId="41" xfId="7" applyFont="1" applyFill="1" applyBorder="1" applyAlignment="1" applyProtection="1">
      <alignment horizontal="left" vertical="center"/>
    </xf>
    <xf numFmtId="0" fontId="12" fillId="6" borderId="0" xfId="0" applyFont="1" applyFill="1" applyAlignment="1">
      <alignment horizontal="left" vertical="center" wrapText="1"/>
    </xf>
    <xf numFmtId="0" fontId="12" fillId="6" borderId="40"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2" fillId="6" borderId="41" xfId="0" applyFont="1" applyFill="1" applyBorder="1" applyAlignment="1">
      <alignment horizontal="left" vertical="center" wrapText="1"/>
    </xf>
    <xf numFmtId="0" fontId="11" fillId="5" borderId="42" xfId="0" applyFont="1" applyFill="1" applyBorder="1" applyAlignment="1">
      <alignment horizontal="left" vertical="center"/>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2" fillId="0" borderId="40" xfId="0" applyFont="1" applyBorder="1" applyAlignment="1">
      <alignment horizontal="left" vertical="center"/>
    </xf>
    <xf numFmtId="0" fontId="12" fillId="0" borderId="2" xfId="0" applyFont="1" applyBorder="1" applyAlignment="1">
      <alignment horizontal="left" vertical="center"/>
    </xf>
    <xf numFmtId="0" fontId="12" fillId="0" borderId="41" xfId="0" applyFont="1" applyBorder="1" applyAlignment="1">
      <alignment horizontal="left" vertical="center"/>
    </xf>
    <xf numFmtId="14" fontId="11" fillId="5" borderId="46" xfId="0" applyNumberFormat="1" applyFont="1" applyFill="1" applyBorder="1" applyAlignment="1">
      <alignment horizontal="center" vertical="center"/>
    </xf>
    <xf numFmtId="14" fontId="11" fillId="5" borderId="43"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0" fontId="32" fillId="0" borderId="29" xfId="0" applyFont="1" applyBorder="1" applyAlignment="1">
      <alignment horizontal="center" vertical="center"/>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11" fillId="2" borderId="1" xfId="0" applyFont="1" applyFill="1" applyBorder="1" applyAlignment="1">
      <alignment horizontal="center" vertical="center"/>
    </xf>
    <xf numFmtId="0" fontId="31" fillId="2" borderId="55" xfId="0" applyFont="1" applyFill="1" applyBorder="1" applyAlignment="1">
      <alignment horizontal="center" vertical="center"/>
    </xf>
  </cellXfs>
  <cellStyles count="139">
    <cellStyle name="Comma" xfId="138" builtinId="3"/>
    <cellStyle name="Comma 2" xfId="8" xr:uid="{00000000-0005-0000-0000-000000000000}"/>
    <cellStyle name="Comma 2 2" xfId="109" xr:uid="{00000000-0005-0000-0000-000001000000}"/>
    <cellStyle name="Comma 3" xfId="9" xr:uid="{00000000-0005-0000-0000-000002000000}"/>
    <cellStyle name="Comma 3 2" xfId="110" xr:uid="{00000000-0005-0000-0000-000003000000}"/>
    <cellStyle name="Comma 3 3" xfId="111" xr:uid="{00000000-0005-0000-0000-000004000000}"/>
    <cellStyle name="Comma 3 4" xfId="112" xr:uid="{00000000-0005-0000-0000-000005000000}"/>
    <cellStyle name="Comma 4" xfId="113" xr:uid="{00000000-0005-0000-0000-000006000000}"/>
    <cellStyle name="Comma 5" xfId="114" xr:uid="{00000000-0005-0000-0000-000007000000}"/>
    <cellStyle name="Currency 2" xfId="10" xr:uid="{00000000-0005-0000-0000-000008000000}"/>
    <cellStyle name="Currency 2 2" xfId="115" xr:uid="{00000000-0005-0000-0000-000009000000}"/>
    <cellStyle name="Followed Hyperlink" xfId="52" builtinId="9" hidden="1"/>
    <cellStyle name="Followed Hyperlink" xfId="40" builtinId="9" hidden="1"/>
    <cellStyle name="Followed Hyperlink" xfId="73" builtinId="9" hidden="1"/>
    <cellStyle name="Followed Hyperlink" xfId="81" builtinId="9" hidden="1"/>
    <cellStyle name="Followed Hyperlink" xfId="39" builtinId="9" hidden="1"/>
    <cellStyle name="Followed Hyperlink" xfId="55" builtinId="9" hidden="1"/>
    <cellStyle name="Followed Hyperlink" xfId="22" builtinId="9" hidden="1"/>
    <cellStyle name="Followed Hyperlink" xfId="24" builtinId="9" hidden="1"/>
    <cellStyle name="Followed Hyperlink" xfId="26" builtinId="9" hidden="1"/>
    <cellStyle name="Followed Hyperlink" xfId="27" builtinId="9" hidden="1"/>
    <cellStyle name="Followed Hyperlink" xfId="75" builtinId="9" hidden="1"/>
    <cellStyle name="Followed Hyperlink" xfId="19" builtinId="9" hidden="1"/>
    <cellStyle name="Followed Hyperlink" xfId="15" builtinId="9" hidden="1"/>
    <cellStyle name="Followed Hyperlink" xfId="56" builtinId="9" hidden="1"/>
    <cellStyle name="Followed Hyperlink" xfId="17" builtinId="9" hidden="1"/>
    <cellStyle name="Followed Hyperlink" xfId="43" builtinId="9" hidden="1"/>
    <cellStyle name="Followed Hyperlink" xfId="38" builtinId="9" hidden="1"/>
    <cellStyle name="Followed Hyperlink" xfId="68" builtinId="9" hidden="1"/>
    <cellStyle name="Followed Hyperlink" xfId="23" builtinId="9" hidden="1"/>
    <cellStyle name="Followed Hyperlink" xfId="21" builtinId="9" hidden="1"/>
    <cellStyle name="Followed Hyperlink" xfId="35" builtinId="9" hidden="1"/>
    <cellStyle name="Followed Hyperlink" xfId="29" builtinId="9" hidden="1"/>
    <cellStyle name="Followed Hyperlink" xfId="54" builtinId="9" hidden="1"/>
    <cellStyle name="Followed Hyperlink" xfId="64" builtinId="9" hidden="1"/>
    <cellStyle name="Followed Hyperlink" xfId="53" builtinId="9" hidden="1"/>
    <cellStyle name="Followed Hyperlink" xfId="51" builtinId="9" hidden="1"/>
    <cellStyle name="Followed Hyperlink" xfId="77" builtinId="9" hidden="1"/>
    <cellStyle name="Followed Hyperlink" xfId="65" builtinId="9" hidden="1"/>
    <cellStyle name="Followed Hyperlink" xfId="20" builtinId="9" hidden="1"/>
    <cellStyle name="Followed Hyperlink" xfId="71" builtinId="9" hidden="1"/>
    <cellStyle name="Followed Hyperlink" xfId="69" builtinId="9" hidden="1"/>
    <cellStyle name="Followed Hyperlink" xfId="41" builtinId="9" hidden="1"/>
    <cellStyle name="Followed Hyperlink" xfId="60" builtinId="9" hidden="1"/>
    <cellStyle name="Followed Hyperlink" xfId="18" builtinId="9" hidden="1"/>
    <cellStyle name="Followed Hyperlink" xfId="63" builtinId="9" hidden="1"/>
    <cellStyle name="Followed Hyperlink" xfId="30" builtinId="9" hidden="1"/>
    <cellStyle name="Followed Hyperlink" xfId="36" builtinId="9" hidden="1"/>
    <cellStyle name="Followed Hyperlink" xfId="33" builtinId="9" hidden="1"/>
    <cellStyle name="Followed Hyperlink" xfId="34" builtinId="9" hidden="1"/>
    <cellStyle name="Followed Hyperlink" xfId="50" builtinId="9" hidden="1"/>
    <cellStyle name="Followed Hyperlink" xfId="78" builtinId="9" hidden="1"/>
    <cellStyle name="Followed Hyperlink" xfId="37" builtinId="9" hidden="1"/>
    <cellStyle name="Followed Hyperlink" xfId="42" builtinId="9" hidden="1"/>
    <cellStyle name="Followed Hyperlink" xfId="44" builtinId="9" hidden="1"/>
    <cellStyle name="Followed Hyperlink" xfId="45" builtinId="9" hidden="1"/>
    <cellStyle name="Followed Hyperlink" xfId="57" builtinId="9" hidden="1"/>
    <cellStyle name="Followed Hyperlink" xfId="47" builtinId="9" hidden="1"/>
    <cellStyle name="Followed Hyperlink" xfId="25" builtinId="9" hidden="1"/>
    <cellStyle name="Followed Hyperlink" xfId="46" builtinId="9" hidden="1"/>
    <cellStyle name="Followed Hyperlink" xfId="16" builtinId="9" hidden="1"/>
    <cellStyle name="Followed Hyperlink" xfId="79" builtinId="9" hidden="1"/>
    <cellStyle name="Followed Hyperlink" xfId="59" builtinId="9" hidden="1"/>
    <cellStyle name="Followed Hyperlink" xfId="67" builtinId="9" hidden="1"/>
    <cellStyle name="Followed Hyperlink" xfId="4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31" builtinId="9" hidden="1"/>
    <cellStyle name="Followed Hyperlink" xfId="80" builtinId="9" hidden="1"/>
    <cellStyle name="Followed Hyperlink" xfId="61" builtinId="9" hidden="1"/>
    <cellStyle name="Followed Hyperlink" xfId="82" builtinId="9" hidden="1"/>
    <cellStyle name="Followed Hyperlink" xfId="32" builtinId="9" hidden="1"/>
    <cellStyle name="Followed Hyperlink" xfId="28" builtinId="9" hidden="1"/>
    <cellStyle name="Followed Hyperlink" xfId="62" builtinId="9" hidden="1"/>
    <cellStyle name="Followed Hyperlink" xfId="66" builtinId="9" hidden="1"/>
    <cellStyle name="Followed Hyperlink" xfId="49" builtinId="9" hidden="1"/>
    <cellStyle name="Followed Hyperlink" xfId="58" builtinId="9" hidden="1"/>
    <cellStyle name="Hyperlink" xfId="7" builtinId="8"/>
    <cellStyle name="Hyperlink 2" xfId="2" xr:uid="{00000000-0005-0000-0000-00004F000000}"/>
    <cellStyle name="Hyperlink 2 2" xfId="11" xr:uid="{00000000-0005-0000-0000-000050000000}"/>
    <cellStyle name="Normal" xfId="0" builtinId="0"/>
    <cellStyle name="Normal 2" xfId="1" xr:uid="{00000000-0005-0000-0000-000052000000}"/>
    <cellStyle name="Normal 2 2" xfId="105" xr:uid="{00000000-0005-0000-0000-000053000000}"/>
    <cellStyle name="Normal 2 2 2" xfId="137" xr:uid="{00000000-0005-0000-0000-000054000000}"/>
    <cellStyle name="Normal 2 3" xfId="116" xr:uid="{00000000-0005-0000-0000-000055000000}"/>
    <cellStyle name="Normal 2 4" xfId="117" xr:uid="{00000000-0005-0000-0000-000056000000}"/>
    <cellStyle name="Normal 3" xfId="3" xr:uid="{00000000-0005-0000-0000-000057000000}"/>
    <cellStyle name="Normal 3 2" xfId="4" xr:uid="{00000000-0005-0000-0000-000058000000}"/>
    <cellStyle name="Normal 3 2 2" xfId="12" xr:uid="{00000000-0005-0000-0000-000059000000}"/>
    <cellStyle name="Normal 3 2 2 2" xfId="87" xr:uid="{00000000-0005-0000-0000-00005A000000}"/>
    <cellStyle name="Normal 3 2 2 2 2" xfId="100" xr:uid="{00000000-0005-0000-0000-00005B000000}"/>
    <cellStyle name="Normal 3 2 2 2 2 2" xfId="136" xr:uid="{00000000-0005-0000-0000-00005C000000}"/>
    <cellStyle name="Normal 3 2 2 3" xfId="94" xr:uid="{00000000-0005-0000-0000-00005D000000}"/>
    <cellStyle name="Normal 3 2 2 4" xfId="118" xr:uid="{00000000-0005-0000-0000-00005E000000}"/>
    <cellStyle name="Normal 3 2 2 6" xfId="134" xr:uid="{00000000-0005-0000-0000-00005F000000}"/>
    <cellStyle name="Normal 3 2 2 7" xfId="135" xr:uid="{00000000-0005-0000-0000-000060000000}"/>
    <cellStyle name="Normal 3 2 3" xfId="86" xr:uid="{00000000-0005-0000-0000-000061000000}"/>
    <cellStyle name="Normal 3 2 3 2" xfId="99" xr:uid="{00000000-0005-0000-0000-000062000000}"/>
    <cellStyle name="Normal 3 2 4" xfId="92" xr:uid="{00000000-0005-0000-0000-000063000000}"/>
    <cellStyle name="Normal 3 2 5" xfId="119" xr:uid="{00000000-0005-0000-0000-000064000000}"/>
    <cellStyle name="Normal 3 3" xfId="13" xr:uid="{00000000-0005-0000-0000-000065000000}"/>
    <cellStyle name="Normal 3 3 2" xfId="88" xr:uid="{00000000-0005-0000-0000-000066000000}"/>
    <cellStyle name="Normal 3 3 2 2" xfId="101" xr:uid="{00000000-0005-0000-0000-000067000000}"/>
    <cellStyle name="Normal 3 3 3" xfId="95" xr:uid="{00000000-0005-0000-0000-000068000000}"/>
    <cellStyle name="Normal 3 4" xfId="85" xr:uid="{00000000-0005-0000-0000-000069000000}"/>
    <cellStyle name="Normal 3 4 2" xfId="98" xr:uid="{00000000-0005-0000-0000-00006A000000}"/>
    <cellStyle name="Normal 3 5" xfId="91" xr:uid="{00000000-0005-0000-0000-00006B000000}"/>
    <cellStyle name="Normal 3 6" xfId="120" xr:uid="{00000000-0005-0000-0000-00006C000000}"/>
    <cellStyle name="Normal 4" xfId="5" xr:uid="{00000000-0005-0000-0000-00006D000000}"/>
    <cellStyle name="Normal 4 2" xfId="14" xr:uid="{00000000-0005-0000-0000-00006E000000}"/>
    <cellStyle name="Normal 4 2 2" xfId="90" xr:uid="{00000000-0005-0000-0000-00006F000000}"/>
    <cellStyle name="Normal 4 2 2 2" xfId="103" xr:uid="{00000000-0005-0000-0000-000070000000}"/>
    <cellStyle name="Normal 4 2 3" xfId="96" xr:uid="{00000000-0005-0000-0000-000071000000}"/>
    <cellStyle name="Normal 4 3" xfId="89" xr:uid="{00000000-0005-0000-0000-000072000000}"/>
    <cellStyle name="Normal 4 3 2" xfId="102" xr:uid="{00000000-0005-0000-0000-000073000000}"/>
    <cellStyle name="Normal 4 4" xfId="93" xr:uid="{00000000-0005-0000-0000-000074000000}"/>
    <cellStyle name="Normal 4 5" xfId="121" xr:uid="{00000000-0005-0000-0000-000075000000}"/>
    <cellStyle name="Normal 5" xfId="84" xr:uid="{00000000-0005-0000-0000-000076000000}"/>
    <cellStyle name="Normal 5 2" xfId="97" xr:uid="{00000000-0005-0000-0000-000077000000}"/>
    <cellStyle name="Normal 5 3" xfId="122" xr:uid="{00000000-0005-0000-0000-000078000000}"/>
    <cellStyle name="Normal 6" xfId="104" xr:uid="{00000000-0005-0000-0000-000079000000}"/>
    <cellStyle name="Normal 7" xfId="106" xr:uid="{00000000-0005-0000-0000-00007A000000}"/>
    <cellStyle name="Normal 7 2" xfId="107" xr:uid="{00000000-0005-0000-0000-00007B000000}"/>
    <cellStyle name="Normal 7 2 2" xfId="123" xr:uid="{00000000-0005-0000-0000-00007C000000}"/>
    <cellStyle name="Normal 7 2 2 2" xfId="124" xr:uid="{00000000-0005-0000-0000-00007D000000}"/>
    <cellStyle name="Normal 7 2 3" xfId="125" xr:uid="{00000000-0005-0000-0000-00007E000000}"/>
    <cellStyle name="Normal 7 2 4" xfId="126" xr:uid="{00000000-0005-0000-0000-00007F000000}"/>
    <cellStyle name="Normal 7 3" xfId="127" xr:uid="{00000000-0005-0000-0000-000080000000}"/>
    <cellStyle name="Normal 7 3 2" xfId="128" xr:uid="{00000000-0005-0000-0000-000081000000}"/>
    <cellStyle name="Normal 8" xfId="108" xr:uid="{00000000-0005-0000-0000-000082000000}"/>
    <cellStyle name="Percent" xfId="83" builtinId="5"/>
    <cellStyle name="Percent 2" xfId="6" xr:uid="{00000000-0005-0000-0000-000084000000}"/>
    <cellStyle name="Percent 2 2" xfId="129" xr:uid="{00000000-0005-0000-0000-000085000000}"/>
    <cellStyle name="Percent 3" xfId="130" xr:uid="{00000000-0005-0000-0000-000086000000}"/>
    <cellStyle name="Percent 3 2" xfId="131" xr:uid="{00000000-0005-0000-0000-000087000000}"/>
    <cellStyle name="Percent 3 3" xfId="132" xr:uid="{00000000-0005-0000-0000-000088000000}"/>
    <cellStyle name="Percent 4" xfId="133" xr:uid="{00000000-0005-0000-0000-00008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plong01@wm.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E3009-A9CA-4ADB-966E-977003DAB000}">
  <dimension ref="A1:R66"/>
  <sheetViews>
    <sheetView topLeftCell="A43" workbookViewId="0">
      <selection activeCell="A32" sqref="A32"/>
    </sheetView>
  </sheetViews>
  <sheetFormatPr defaultColWidth="164.44140625" defaultRowHeight="15" x14ac:dyDescent="0.25"/>
  <cols>
    <col min="1" max="1" width="170.5546875" style="63" customWidth="1"/>
    <col min="2" max="16384" width="164.44140625" style="63"/>
  </cols>
  <sheetData>
    <row r="1" spans="1:1" ht="21" customHeight="1" x14ac:dyDescent="0.25">
      <c r="A1" s="62" t="s">
        <v>0</v>
      </c>
    </row>
    <row r="2" spans="1:1" ht="21" customHeight="1" x14ac:dyDescent="0.25">
      <c r="A2" s="62" t="s">
        <v>1</v>
      </c>
    </row>
    <row r="3" spans="1:1" ht="21" customHeight="1" x14ac:dyDescent="0.25">
      <c r="A3" s="361" t="s">
        <v>2</v>
      </c>
    </row>
    <row r="4" spans="1:1" ht="16.350000000000001" customHeight="1" x14ac:dyDescent="0.25">
      <c r="A4" s="362"/>
    </row>
    <row r="5" spans="1:1" ht="21" customHeight="1" x14ac:dyDescent="0.25">
      <c r="A5" s="64" t="s">
        <v>3</v>
      </c>
    </row>
    <row r="6" spans="1:1" s="65" customFormat="1" ht="75" customHeight="1" x14ac:dyDescent="0.25">
      <c r="A6" s="74" t="s">
        <v>4</v>
      </c>
    </row>
    <row r="7" spans="1:1" s="66" customFormat="1" ht="21" customHeight="1" x14ac:dyDescent="0.25">
      <c r="A7" s="64" t="s">
        <v>5</v>
      </c>
    </row>
    <row r="8" spans="1:1" s="65" customFormat="1" ht="69.599999999999994" customHeight="1" x14ac:dyDescent="0.25">
      <c r="A8" s="363" t="s">
        <v>6</v>
      </c>
    </row>
    <row r="9" spans="1:1" s="65" customFormat="1" ht="54.6" customHeight="1" thickBot="1" x14ac:dyDescent="0.3">
      <c r="A9" s="67" t="s">
        <v>7</v>
      </c>
    </row>
    <row r="10" spans="1:1" s="65" customFormat="1" ht="33" customHeight="1" thickBot="1" x14ac:dyDescent="0.3">
      <c r="A10" s="68" t="s">
        <v>8</v>
      </c>
    </row>
    <row r="11" spans="1:1" s="65" customFormat="1" ht="23.4" customHeight="1" x14ac:dyDescent="0.25">
      <c r="A11" s="70" t="s">
        <v>9</v>
      </c>
    </row>
    <row r="12" spans="1:1" s="65" customFormat="1" ht="57" customHeight="1" x14ac:dyDescent="0.25">
      <c r="A12" s="71" t="s">
        <v>10</v>
      </c>
    </row>
    <row r="13" spans="1:1" s="69" customFormat="1" ht="21" customHeight="1" x14ac:dyDescent="0.25">
      <c r="A13" s="70" t="s">
        <v>11</v>
      </c>
    </row>
    <row r="14" spans="1:1" s="69" customFormat="1" ht="73.5" customHeight="1" x14ac:dyDescent="0.25">
      <c r="A14" s="74" t="s">
        <v>12</v>
      </c>
    </row>
    <row r="15" spans="1:1" s="69" customFormat="1" ht="50.1" customHeight="1" x14ac:dyDescent="0.25">
      <c r="A15" s="74" t="s">
        <v>13</v>
      </c>
    </row>
    <row r="16" spans="1:1" s="73" customFormat="1" ht="21" customHeight="1" x14ac:dyDescent="0.25">
      <c r="A16" s="72" t="s">
        <v>14</v>
      </c>
    </row>
    <row r="17" spans="1:18" s="69" customFormat="1" ht="100.5" customHeight="1" x14ac:dyDescent="0.25">
      <c r="A17" s="74" t="s">
        <v>15</v>
      </c>
    </row>
    <row r="18" spans="1:18" s="69" customFormat="1" ht="21" customHeight="1" x14ac:dyDescent="0.25">
      <c r="A18" s="70" t="s">
        <v>16</v>
      </c>
    </row>
    <row r="19" spans="1:18" s="69" customFormat="1" ht="353.25" customHeight="1" x14ac:dyDescent="0.25">
      <c r="A19" s="382" t="s">
        <v>17</v>
      </c>
      <c r="B19" s="364"/>
      <c r="C19" s="364"/>
      <c r="D19" s="364"/>
      <c r="E19" s="364"/>
      <c r="F19" s="364"/>
      <c r="G19" s="364"/>
      <c r="H19" s="364"/>
      <c r="I19" s="364"/>
      <c r="J19" s="364"/>
      <c r="K19" s="364"/>
      <c r="L19" s="364"/>
      <c r="M19" s="364"/>
      <c r="N19" s="364"/>
      <c r="O19" s="364"/>
    </row>
    <row r="20" spans="1:18" s="69" customFormat="1" ht="180" x14ac:dyDescent="0.25">
      <c r="A20" s="365" t="s">
        <v>18</v>
      </c>
      <c r="B20" s="364"/>
      <c r="C20" s="364"/>
      <c r="D20" s="364"/>
      <c r="E20" s="364"/>
      <c r="F20" s="364"/>
      <c r="G20" s="364"/>
      <c r="H20" s="364"/>
      <c r="I20" s="364"/>
      <c r="J20" s="364"/>
      <c r="K20" s="364"/>
      <c r="L20" s="364"/>
      <c r="M20" s="364"/>
      <c r="N20" s="364"/>
      <c r="O20" s="364"/>
    </row>
    <row r="21" spans="1:18" s="65" customFormat="1" ht="37.5" customHeight="1" x14ac:dyDescent="0.25">
      <c r="A21" s="366" t="s">
        <v>19</v>
      </c>
    </row>
    <row r="22" spans="1:18" s="65" customFormat="1" ht="33.6" customHeight="1" x14ac:dyDescent="0.25">
      <c r="A22" s="367" t="s">
        <v>20</v>
      </c>
    </row>
    <row r="23" spans="1:18" s="65" customFormat="1" ht="21" customHeight="1" x14ac:dyDescent="0.25">
      <c r="A23" s="368" t="s">
        <v>21</v>
      </c>
    </row>
    <row r="24" spans="1:18" s="65" customFormat="1" ht="21" customHeight="1" x14ac:dyDescent="0.25">
      <c r="A24" s="368" t="s">
        <v>22</v>
      </c>
    </row>
    <row r="25" spans="1:18" s="65" customFormat="1" ht="21" customHeight="1" x14ac:dyDescent="0.25">
      <c r="A25" s="369" t="s">
        <v>23</v>
      </c>
    </row>
    <row r="26" spans="1:18" s="73" customFormat="1" ht="21" customHeight="1" thickBot="1" x14ac:dyDescent="0.3">
      <c r="A26" s="70" t="s">
        <v>24</v>
      </c>
      <c r="B26" s="243"/>
      <c r="C26" s="243"/>
      <c r="D26" s="243"/>
      <c r="E26" s="243"/>
      <c r="F26" s="243"/>
      <c r="G26" s="243"/>
      <c r="H26" s="243"/>
    </row>
    <row r="27" spans="1:18" s="65" customFormat="1" ht="145.5" customHeight="1" x14ac:dyDescent="0.25">
      <c r="A27" s="370" t="s">
        <v>25</v>
      </c>
      <c r="B27" s="242"/>
      <c r="C27" s="242"/>
      <c r="D27" s="242"/>
      <c r="E27" s="242"/>
      <c r="F27" s="242"/>
      <c r="G27" s="242"/>
      <c r="H27" s="242"/>
      <c r="I27" s="242"/>
      <c r="J27" s="242"/>
      <c r="K27" s="242"/>
      <c r="L27" s="242"/>
      <c r="M27" s="242"/>
      <c r="N27" s="242"/>
      <c r="O27" s="242"/>
      <c r="P27" s="242"/>
      <c r="Q27" s="242"/>
      <c r="R27" s="242"/>
    </row>
    <row r="28" spans="1:18" s="65" customFormat="1" ht="21" customHeight="1" x14ac:dyDescent="0.25">
      <c r="A28" s="70" t="s">
        <v>26</v>
      </c>
    </row>
    <row r="29" spans="1:18" s="65" customFormat="1" ht="147.75" customHeight="1" x14ac:dyDescent="0.25">
      <c r="A29" s="371" t="s">
        <v>27</v>
      </c>
      <c r="B29" s="242"/>
      <c r="C29" s="242"/>
      <c r="D29" s="242"/>
      <c r="E29" s="242"/>
      <c r="F29" s="242"/>
      <c r="G29" s="242"/>
      <c r="H29" s="242"/>
    </row>
    <row r="30" spans="1:18" s="65" customFormat="1" ht="38.4" customHeight="1" x14ac:dyDescent="0.25">
      <c r="A30" s="71" t="s">
        <v>28</v>
      </c>
    </row>
    <row r="31" spans="1:18" s="65" customFormat="1" ht="69" customHeight="1" x14ac:dyDescent="0.25">
      <c r="A31" s="71" t="s">
        <v>29</v>
      </c>
    </row>
    <row r="32" spans="1:18" s="69" customFormat="1" ht="51.6" customHeight="1" x14ac:dyDescent="0.25">
      <c r="A32" s="74" t="s">
        <v>30</v>
      </c>
    </row>
    <row r="33" spans="1:1" s="69" customFormat="1" ht="21" customHeight="1" x14ac:dyDescent="0.25">
      <c r="A33" s="75" t="s">
        <v>31</v>
      </c>
    </row>
    <row r="34" spans="1:1" ht="21" customHeight="1" x14ac:dyDescent="0.25">
      <c r="A34" s="76" t="s">
        <v>32</v>
      </c>
    </row>
    <row r="35" spans="1:1" ht="21" customHeight="1" x14ac:dyDescent="0.25">
      <c r="A35" s="76" t="s">
        <v>33</v>
      </c>
    </row>
    <row r="36" spans="1:1" s="65" customFormat="1" ht="21" customHeight="1" x14ac:dyDescent="0.25">
      <c r="A36" s="76" t="s">
        <v>34</v>
      </c>
    </row>
    <row r="37" spans="1:1" s="65" customFormat="1" ht="21" customHeight="1" x14ac:dyDescent="0.25">
      <c r="A37" s="76" t="s">
        <v>35</v>
      </c>
    </row>
    <row r="38" spans="1:1" s="65" customFormat="1" ht="21" customHeight="1" x14ac:dyDescent="0.25">
      <c r="A38" s="76" t="s">
        <v>36</v>
      </c>
    </row>
    <row r="39" spans="1:1" s="65" customFormat="1" ht="21" customHeight="1" x14ac:dyDescent="0.25">
      <c r="A39" s="70" t="s">
        <v>37</v>
      </c>
    </row>
    <row r="40" spans="1:1" s="69" customFormat="1" ht="21" customHeight="1" x14ac:dyDescent="0.25">
      <c r="A40" s="77" t="s">
        <v>38</v>
      </c>
    </row>
    <row r="41" spans="1:1" s="79" customFormat="1" ht="145.35" customHeight="1" x14ac:dyDescent="0.25">
      <c r="A41" s="78" t="s">
        <v>39</v>
      </c>
    </row>
    <row r="42" spans="1:1" s="79" customFormat="1" ht="57.6" customHeight="1" x14ac:dyDescent="0.25">
      <c r="A42" s="78" t="s">
        <v>40</v>
      </c>
    </row>
    <row r="43" spans="1:1" s="79" customFormat="1" ht="64.349999999999994" customHeight="1" x14ac:dyDescent="0.25">
      <c r="A43" s="78" t="s">
        <v>41</v>
      </c>
    </row>
    <row r="44" spans="1:1" s="79" customFormat="1" ht="77.099999999999994" customHeight="1" x14ac:dyDescent="0.25">
      <c r="A44" s="78" t="s">
        <v>42</v>
      </c>
    </row>
    <row r="45" spans="1:1" s="79" customFormat="1" ht="28.35" customHeight="1" x14ac:dyDescent="0.25">
      <c r="A45" s="78" t="s">
        <v>43</v>
      </c>
    </row>
    <row r="46" spans="1:1" s="79" customFormat="1" ht="26.1" customHeight="1" x14ac:dyDescent="0.25">
      <c r="A46" s="80" t="s">
        <v>44</v>
      </c>
    </row>
    <row r="47" spans="1:1" s="79" customFormat="1" ht="36" customHeight="1" x14ac:dyDescent="0.25">
      <c r="A47" s="78" t="s">
        <v>45</v>
      </c>
    </row>
    <row r="48" spans="1:1" s="79" customFormat="1" ht="20.25" customHeight="1" x14ac:dyDescent="0.25">
      <c r="A48" s="78" t="s">
        <v>46</v>
      </c>
    </row>
    <row r="49" spans="1:1" s="79" customFormat="1" ht="21.6" customHeight="1" x14ac:dyDescent="0.25">
      <c r="A49" s="78" t="s">
        <v>47</v>
      </c>
    </row>
    <row r="50" spans="1:1" s="79" customFormat="1" ht="24.6" customHeight="1" x14ac:dyDescent="0.25">
      <c r="A50" s="80" t="s">
        <v>48</v>
      </c>
    </row>
    <row r="51" spans="1:1" s="79" customFormat="1" ht="17.399999999999999" customHeight="1" x14ac:dyDescent="0.25">
      <c r="A51" s="80" t="s">
        <v>49</v>
      </c>
    </row>
    <row r="52" spans="1:1" s="79" customFormat="1" ht="35.1" customHeight="1" x14ac:dyDescent="0.25">
      <c r="A52" s="80" t="s">
        <v>50</v>
      </c>
    </row>
    <row r="53" spans="1:1" s="79" customFormat="1" ht="57" customHeight="1" x14ac:dyDescent="0.25">
      <c r="A53" s="80" t="s">
        <v>51</v>
      </c>
    </row>
    <row r="54" spans="1:1" s="79" customFormat="1" ht="62.1" customHeight="1" x14ac:dyDescent="0.25">
      <c r="A54" s="80" t="s">
        <v>52</v>
      </c>
    </row>
    <row r="55" spans="1:1" s="79" customFormat="1" ht="107.1" customHeight="1" x14ac:dyDescent="0.25">
      <c r="A55" s="80" t="s">
        <v>53</v>
      </c>
    </row>
    <row r="56" spans="1:1" s="79" customFormat="1" ht="63" customHeight="1" x14ac:dyDescent="0.25">
      <c r="A56" s="80" t="s">
        <v>54</v>
      </c>
    </row>
    <row r="57" spans="1:1" s="79" customFormat="1" ht="24" customHeight="1" x14ac:dyDescent="0.25">
      <c r="A57" s="80" t="s">
        <v>55</v>
      </c>
    </row>
    <row r="58" spans="1:1" s="79" customFormat="1" ht="23.1" customHeight="1" x14ac:dyDescent="0.25">
      <c r="A58" s="80" t="s">
        <v>56</v>
      </c>
    </row>
    <row r="59" spans="1:1" s="65" customFormat="1" ht="86.4" x14ac:dyDescent="0.25">
      <c r="A59" s="80" t="s">
        <v>57</v>
      </c>
    </row>
    <row r="60" spans="1:1" s="65" customFormat="1" ht="51.6" customHeight="1" x14ac:dyDescent="0.25">
      <c r="A60" s="80" t="s">
        <v>58</v>
      </c>
    </row>
    <row r="61" spans="1:1" s="65" customFormat="1" ht="89.4" customHeight="1" x14ac:dyDescent="0.25">
      <c r="A61" s="80" t="s">
        <v>59</v>
      </c>
    </row>
    <row r="62" spans="1:1" s="65" customFormat="1" ht="32.4" customHeight="1" x14ac:dyDescent="0.25">
      <c r="A62" s="80" t="s">
        <v>60</v>
      </c>
    </row>
    <row r="63" spans="1:1" hidden="1" x14ac:dyDescent="0.25">
      <c r="A63" s="81"/>
    </row>
    <row r="64" spans="1:1" hidden="1" x14ac:dyDescent="0.25">
      <c r="A64" s="81"/>
    </row>
    <row r="65" spans="1:1" hidden="1" x14ac:dyDescent="0.25">
      <c r="A65" s="81"/>
    </row>
    <row r="66" spans="1:1" s="103" customFormat="1" x14ac:dyDescent="0.25"/>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16998-D293-4F33-8880-2AF2CB759698}">
  <dimension ref="A1:A16"/>
  <sheetViews>
    <sheetView workbookViewId="0">
      <selection activeCell="E10" sqref="E10"/>
    </sheetView>
  </sheetViews>
  <sheetFormatPr defaultRowHeight="13.2" x14ac:dyDescent="0.25"/>
  <cols>
    <col min="1" max="1" width="40" bestFit="1" customWidth="1"/>
  </cols>
  <sheetData>
    <row r="1" spans="1:1" x14ac:dyDescent="0.25">
      <c r="A1" s="316" t="s">
        <v>281</v>
      </c>
    </row>
    <row r="2" spans="1:1" ht="15" x14ac:dyDescent="0.25">
      <c r="A2" s="314" t="s">
        <v>282</v>
      </c>
    </row>
    <row r="3" spans="1:1" ht="15" x14ac:dyDescent="0.25">
      <c r="A3" s="192" t="s">
        <v>283</v>
      </c>
    </row>
    <row r="4" spans="1:1" ht="15" x14ac:dyDescent="0.25">
      <c r="A4" s="314" t="s">
        <v>284</v>
      </c>
    </row>
    <row r="5" spans="1:1" ht="15" x14ac:dyDescent="0.25">
      <c r="A5" s="314" t="s">
        <v>285</v>
      </c>
    </row>
    <row r="6" spans="1:1" ht="15" x14ac:dyDescent="0.25">
      <c r="A6" s="313" t="s">
        <v>277</v>
      </c>
    </row>
    <row r="7" spans="1:1" ht="15" x14ac:dyDescent="0.25">
      <c r="A7" s="314" t="s">
        <v>286</v>
      </c>
    </row>
    <row r="8" spans="1:1" ht="15" x14ac:dyDescent="0.25">
      <c r="A8" s="315" t="s">
        <v>287</v>
      </c>
    </row>
    <row r="9" spans="1:1" ht="15" x14ac:dyDescent="0.25">
      <c r="A9" s="315" t="s">
        <v>288</v>
      </c>
    </row>
    <row r="10" spans="1:1" ht="15" x14ac:dyDescent="0.25">
      <c r="A10" s="317" t="s">
        <v>289</v>
      </c>
    </row>
    <row r="11" spans="1:1" ht="15" x14ac:dyDescent="0.25">
      <c r="A11" s="317" t="s">
        <v>279</v>
      </c>
    </row>
    <row r="12" spans="1:1" ht="15" x14ac:dyDescent="0.25">
      <c r="A12" s="315" t="s">
        <v>290</v>
      </c>
    </row>
    <row r="13" spans="1:1" ht="15" x14ac:dyDescent="0.25">
      <c r="A13" s="315" t="s">
        <v>291</v>
      </c>
    </row>
    <row r="14" spans="1:1" ht="15" x14ac:dyDescent="0.25">
      <c r="A14" s="315" t="s">
        <v>292</v>
      </c>
    </row>
    <row r="15" spans="1:1" ht="15" x14ac:dyDescent="0.25">
      <c r="A15" s="192" t="s">
        <v>275</v>
      </c>
    </row>
    <row r="16" spans="1:1" ht="15" x14ac:dyDescent="0.25">
      <c r="A16" s="192" t="s">
        <v>272</v>
      </c>
    </row>
  </sheetData>
  <sortState xmlns:xlrd2="http://schemas.microsoft.com/office/spreadsheetml/2017/richdata2" ref="A2:A15">
    <sortCondition ref="A2:A15"/>
  </sortState>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35"/>
  <sheetViews>
    <sheetView topLeftCell="A55" workbookViewId="0">
      <selection sqref="A1:H1"/>
    </sheetView>
  </sheetViews>
  <sheetFormatPr defaultColWidth="8.5546875" defaultRowHeight="13.2" x14ac:dyDescent="0.25"/>
  <cols>
    <col min="1" max="1" width="55.5546875" customWidth="1"/>
    <col min="2" max="11" width="15.5546875" customWidth="1"/>
  </cols>
  <sheetData>
    <row r="1" spans="1:13" s="1" customFormat="1" ht="20.100000000000001" customHeight="1" x14ac:dyDescent="0.4">
      <c r="A1" s="420" t="str">
        <f>'Institution ID'!A1</f>
        <v>Six-Year Plans (2023): 2024-25 through 2029-30</v>
      </c>
      <c r="B1" s="420"/>
      <c r="C1" s="420"/>
      <c r="D1" s="420"/>
      <c r="E1" s="420"/>
      <c r="F1" s="420"/>
      <c r="G1" s="420"/>
      <c r="H1" s="420"/>
      <c r="I1" s="9"/>
      <c r="J1" s="8"/>
      <c r="K1" s="8"/>
      <c r="L1" s="8"/>
      <c r="M1" s="8"/>
    </row>
    <row r="2" spans="1:13" s="1" customFormat="1" ht="20.100000000000001" customHeight="1" x14ac:dyDescent="0.25">
      <c r="A2" s="384" t="str">
        <f>'Institution ID'!C3</f>
        <v>William &amp; Mary</v>
      </c>
      <c r="B2" s="31"/>
      <c r="C2" s="31"/>
      <c r="D2" s="31"/>
      <c r="E2" s="31"/>
      <c r="F2" s="31"/>
      <c r="G2" s="31"/>
      <c r="H2" s="31"/>
      <c r="I2" s="31"/>
      <c r="J2" s="8"/>
      <c r="K2" s="8"/>
      <c r="L2" s="8"/>
      <c r="M2" s="8"/>
    </row>
    <row r="3" spans="1:13" ht="20.100000000000001" customHeight="1" x14ac:dyDescent="0.25">
      <c r="A3" s="30" t="s">
        <v>293</v>
      </c>
      <c r="B3" s="30"/>
      <c r="C3" s="30"/>
      <c r="D3" s="30"/>
      <c r="E3" s="30"/>
      <c r="F3" s="30"/>
      <c r="G3" s="30"/>
      <c r="H3" s="30"/>
      <c r="I3" s="30"/>
    </row>
    <row r="4" spans="1:13" ht="20.100000000000001" customHeight="1" x14ac:dyDescent="0.25">
      <c r="A4" s="30" t="s">
        <v>294</v>
      </c>
      <c r="B4" s="30"/>
      <c r="C4" s="30"/>
      <c r="D4" s="30"/>
      <c r="E4" s="30"/>
      <c r="F4" s="30"/>
      <c r="G4" s="30"/>
      <c r="H4" s="30"/>
      <c r="I4" s="30"/>
    </row>
    <row r="5" spans="1:13" ht="20.100000000000001" customHeight="1" thickBot="1" x14ac:dyDescent="0.35">
      <c r="A5" s="11"/>
      <c r="B5" s="11"/>
      <c r="C5" s="11"/>
      <c r="D5" s="11"/>
      <c r="E5" s="11"/>
      <c r="F5" s="11"/>
      <c r="G5" s="11"/>
      <c r="H5" s="11"/>
      <c r="I5" s="11"/>
    </row>
    <row r="6" spans="1:13" s="12" customFormat="1" ht="20.100000000000001" customHeight="1" x14ac:dyDescent="0.25">
      <c r="A6" s="568" t="s">
        <v>295</v>
      </c>
      <c r="B6" s="569"/>
      <c r="C6" s="569"/>
      <c r="D6" s="569"/>
      <c r="E6" s="569"/>
      <c r="F6" s="569"/>
      <c r="G6" s="569"/>
      <c r="H6" s="570"/>
      <c r="I6" s="15"/>
    </row>
    <row r="7" spans="1:13" s="1" customFormat="1" ht="20.100000000000001" customHeight="1" x14ac:dyDescent="0.25">
      <c r="A7" s="508" t="s">
        <v>296</v>
      </c>
      <c r="B7" s="571"/>
      <c r="C7" s="571"/>
      <c r="D7" s="571"/>
      <c r="E7" s="571"/>
      <c r="F7" s="571"/>
      <c r="G7" s="571"/>
      <c r="H7" s="502"/>
    </row>
    <row r="8" spans="1:13" s="1" customFormat="1" ht="20.100000000000001" customHeight="1" x14ac:dyDescent="0.25">
      <c r="A8" s="510" t="s">
        <v>297</v>
      </c>
      <c r="B8" s="510" t="s">
        <v>298</v>
      </c>
      <c r="C8" s="510"/>
      <c r="D8" s="510"/>
      <c r="E8" s="510" t="s">
        <v>299</v>
      </c>
      <c r="F8" s="510"/>
      <c r="G8" s="510"/>
      <c r="H8" s="543" t="s">
        <v>155</v>
      </c>
    </row>
    <row r="9" spans="1:13" s="1" customFormat="1" ht="20.100000000000001" customHeight="1" x14ac:dyDescent="0.25">
      <c r="A9" s="572"/>
      <c r="B9" s="389" t="s">
        <v>300</v>
      </c>
      <c r="C9" s="389" t="s">
        <v>301</v>
      </c>
      <c r="D9" s="389" t="s">
        <v>155</v>
      </c>
      <c r="E9" s="389" t="s">
        <v>300</v>
      </c>
      <c r="F9" s="389" t="s">
        <v>301</v>
      </c>
      <c r="G9" s="389" t="s">
        <v>155</v>
      </c>
      <c r="H9" s="544"/>
    </row>
    <row r="10" spans="1:13" s="1" customFormat="1" ht="20.100000000000001" customHeight="1" x14ac:dyDescent="0.25">
      <c r="A10" s="21" t="s">
        <v>147</v>
      </c>
      <c r="B10" s="13">
        <v>206500</v>
      </c>
      <c r="C10" s="13">
        <v>58002</v>
      </c>
      <c r="D10" s="14">
        <f>B10+C10</f>
        <v>264502</v>
      </c>
      <c r="E10" s="13">
        <v>73902</v>
      </c>
      <c r="F10" s="13">
        <v>19763</v>
      </c>
      <c r="G10" s="18">
        <f>E10+F10</f>
        <v>93665</v>
      </c>
      <c r="H10" s="20">
        <f>SUM(D10,G10)</f>
        <v>358167</v>
      </c>
    </row>
    <row r="11" spans="1:13" s="1" customFormat="1" ht="20.100000000000001" customHeight="1" x14ac:dyDescent="0.25">
      <c r="A11" s="390" t="s">
        <v>302</v>
      </c>
      <c r="B11" s="13">
        <v>0</v>
      </c>
      <c r="C11" s="13">
        <v>0</v>
      </c>
      <c r="D11" s="14">
        <f>B11+C11</f>
        <v>0</v>
      </c>
      <c r="E11" s="13">
        <v>0</v>
      </c>
      <c r="F11" s="13">
        <v>0</v>
      </c>
      <c r="G11" s="18">
        <f>E11+F11</f>
        <v>0</v>
      </c>
      <c r="H11" s="20">
        <f>SUM(D11,G11)</f>
        <v>0</v>
      </c>
    </row>
    <row r="12" spans="1:13" s="1" customFormat="1" ht="20.100000000000001" customHeight="1" x14ac:dyDescent="0.25">
      <c r="A12" s="390" t="s">
        <v>303</v>
      </c>
      <c r="B12" s="113">
        <v>0</v>
      </c>
      <c r="C12" s="113">
        <v>0</v>
      </c>
      <c r="D12" s="114">
        <f t="shared" ref="D12:D25" si="0">B12+C12</f>
        <v>0</v>
      </c>
      <c r="E12" s="113">
        <v>830621</v>
      </c>
      <c r="F12" s="113">
        <v>19920</v>
      </c>
      <c r="G12" s="19">
        <f t="shared" ref="G12:G25" si="1">E12+F12</f>
        <v>850541</v>
      </c>
      <c r="H12" s="20">
        <f t="shared" ref="H12:H25" si="2">SUM(D12,G12)</f>
        <v>850541</v>
      </c>
    </row>
    <row r="13" spans="1:13" s="1" customFormat="1" ht="20.100000000000001" customHeight="1" x14ac:dyDescent="0.25">
      <c r="A13" s="390" t="s">
        <v>304</v>
      </c>
      <c r="B13" s="113">
        <v>0</v>
      </c>
      <c r="C13" s="113">
        <v>0</v>
      </c>
      <c r="D13" s="114">
        <f t="shared" si="0"/>
        <v>0</v>
      </c>
      <c r="E13" s="113">
        <v>38052</v>
      </c>
      <c r="F13" s="113">
        <v>0</v>
      </c>
      <c r="G13" s="19">
        <f t="shared" si="1"/>
        <v>38052</v>
      </c>
      <c r="H13" s="20">
        <f t="shared" si="2"/>
        <v>38052</v>
      </c>
    </row>
    <row r="14" spans="1:13" s="1" customFormat="1" ht="20.100000000000001" customHeight="1" x14ac:dyDescent="0.25">
      <c r="A14" s="28" t="s">
        <v>305</v>
      </c>
      <c r="B14" s="115"/>
      <c r="C14" s="115"/>
      <c r="D14" s="115"/>
      <c r="E14" s="115"/>
      <c r="F14" s="115"/>
      <c r="G14" s="29"/>
      <c r="H14" s="29"/>
    </row>
    <row r="15" spans="1:13" s="1" customFormat="1" ht="20.100000000000001" customHeight="1" x14ac:dyDescent="0.25">
      <c r="A15" s="390" t="s">
        <v>306</v>
      </c>
      <c r="B15" s="113">
        <v>0</v>
      </c>
      <c r="C15" s="113">
        <v>0</v>
      </c>
      <c r="D15" s="114">
        <f t="shared" si="0"/>
        <v>0</v>
      </c>
      <c r="E15" s="113">
        <v>0</v>
      </c>
      <c r="F15" s="113">
        <v>0</v>
      </c>
      <c r="G15" s="19">
        <f t="shared" si="1"/>
        <v>0</v>
      </c>
      <c r="H15" s="20">
        <f t="shared" si="2"/>
        <v>0</v>
      </c>
    </row>
    <row r="16" spans="1:13" s="1" customFormat="1" ht="20.100000000000001" customHeight="1" x14ac:dyDescent="0.25">
      <c r="A16" s="390" t="s">
        <v>307</v>
      </c>
      <c r="B16" s="115"/>
      <c r="C16" s="115"/>
      <c r="D16" s="115"/>
      <c r="E16" s="115"/>
      <c r="F16" s="115"/>
      <c r="G16" s="29"/>
      <c r="H16" s="29"/>
    </row>
    <row r="17" spans="1:8" s="1" customFormat="1" ht="20.100000000000001" customHeight="1" x14ac:dyDescent="0.25">
      <c r="A17" s="390" t="s">
        <v>308</v>
      </c>
      <c r="B17" s="113">
        <v>0</v>
      </c>
      <c r="C17" s="113">
        <v>0</v>
      </c>
      <c r="D17" s="114">
        <f t="shared" si="0"/>
        <v>0</v>
      </c>
      <c r="E17" s="113">
        <v>0</v>
      </c>
      <c r="F17" s="113">
        <v>0</v>
      </c>
      <c r="G17" s="19">
        <f t="shared" si="1"/>
        <v>0</v>
      </c>
      <c r="H17" s="20">
        <f t="shared" si="2"/>
        <v>0</v>
      </c>
    </row>
    <row r="18" spans="1:8" s="1" customFormat="1" ht="20.100000000000001" customHeight="1" x14ac:dyDescent="0.25">
      <c r="A18" s="390" t="s">
        <v>309</v>
      </c>
      <c r="B18" s="113">
        <v>0</v>
      </c>
      <c r="C18" s="113">
        <v>0</v>
      </c>
      <c r="D18" s="114">
        <f t="shared" si="0"/>
        <v>0</v>
      </c>
      <c r="E18" s="113">
        <v>0</v>
      </c>
      <c r="F18" s="113">
        <v>0</v>
      </c>
      <c r="G18" s="19">
        <f t="shared" si="1"/>
        <v>0</v>
      </c>
      <c r="H18" s="20">
        <f t="shared" si="2"/>
        <v>0</v>
      </c>
    </row>
    <row r="19" spans="1:8" s="1" customFormat="1" ht="20.100000000000001" customHeight="1" x14ac:dyDescent="0.25">
      <c r="A19" s="390" t="s">
        <v>310</v>
      </c>
      <c r="B19" s="113">
        <v>0</v>
      </c>
      <c r="C19" s="113">
        <v>0</v>
      </c>
      <c r="D19" s="114">
        <f t="shared" si="0"/>
        <v>0</v>
      </c>
      <c r="E19" s="113">
        <v>0</v>
      </c>
      <c r="F19" s="113">
        <v>0</v>
      </c>
      <c r="G19" s="19">
        <f t="shared" si="1"/>
        <v>0</v>
      </c>
      <c r="H19" s="20">
        <f t="shared" si="2"/>
        <v>0</v>
      </c>
    </row>
    <row r="20" spans="1:8" s="1" customFormat="1" ht="20.100000000000001" customHeight="1" x14ac:dyDescent="0.25">
      <c r="A20" s="390" t="s">
        <v>311</v>
      </c>
      <c r="B20" s="113">
        <v>0</v>
      </c>
      <c r="C20" s="113">
        <v>0</v>
      </c>
      <c r="D20" s="114">
        <f t="shared" si="0"/>
        <v>0</v>
      </c>
      <c r="E20" s="113">
        <v>16913</v>
      </c>
      <c r="F20" s="113">
        <v>0</v>
      </c>
      <c r="G20" s="19">
        <f t="shared" si="1"/>
        <v>16913</v>
      </c>
      <c r="H20" s="20">
        <f t="shared" si="2"/>
        <v>16913</v>
      </c>
    </row>
    <row r="21" spans="1:8" s="1" customFormat="1" ht="20.100000000000001" customHeight="1" x14ac:dyDescent="0.25">
      <c r="A21" s="390" t="s">
        <v>312</v>
      </c>
      <c r="B21" s="113">
        <v>32682</v>
      </c>
      <c r="C21" s="113">
        <v>0</v>
      </c>
      <c r="D21" s="114">
        <f t="shared" si="0"/>
        <v>32682</v>
      </c>
      <c r="E21" s="113">
        <v>0</v>
      </c>
      <c r="F21" s="113">
        <v>0</v>
      </c>
      <c r="G21" s="19">
        <f t="shared" si="1"/>
        <v>0</v>
      </c>
      <c r="H21" s="20">
        <f t="shared" si="2"/>
        <v>32682</v>
      </c>
    </row>
    <row r="22" spans="1:8" s="1" customFormat="1" ht="20.100000000000001" customHeight="1" x14ac:dyDescent="0.25">
      <c r="A22" s="390" t="s">
        <v>313</v>
      </c>
      <c r="B22" s="113">
        <v>0</v>
      </c>
      <c r="C22" s="113">
        <v>0</v>
      </c>
      <c r="D22" s="114">
        <f t="shared" si="0"/>
        <v>0</v>
      </c>
      <c r="E22" s="113">
        <v>0</v>
      </c>
      <c r="F22" s="113">
        <v>0</v>
      </c>
      <c r="G22" s="19">
        <f t="shared" si="1"/>
        <v>0</v>
      </c>
      <c r="H22" s="20">
        <f t="shared" si="2"/>
        <v>0</v>
      </c>
    </row>
    <row r="23" spans="1:8" s="1" customFormat="1" ht="20.100000000000001" customHeight="1" x14ac:dyDescent="0.25">
      <c r="A23" s="390" t="s">
        <v>314</v>
      </c>
      <c r="B23" s="113">
        <v>120156</v>
      </c>
      <c r="C23" s="113">
        <v>0</v>
      </c>
      <c r="D23" s="114">
        <f t="shared" si="0"/>
        <v>120156</v>
      </c>
      <c r="E23" s="113">
        <v>0</v>
      </c>
      <c r="F23" s="113">
        <v>0</v>
      </c>
      <c r="G23" s="19">
        <f t="shared" si="1"/>
        <v>0</v>
      </c>
      <c r="H23" s="20">
        <f t="shared" si="2"/>
        <v>120156</v>
      </c>
    </row>
    <row r="24" spans="1:8" s="1" customFormat="1" ht="20.100000000000001" customHeight="1" x14ac:dyDescent="0.25">
      <c r="A24" s="390" t="s">
        <v>315</v>
      </c>
      <c r="B24" s="113">
        <v>16341</v>
      </c>
      <c r="C24" s="113">
        <v>4520</v>
      </c>
      <c r="D24" s="114">
        <f t="shared" ref="D24" si="3">B24+C24</f>
        <v>20861</v>
      </c>
      <c r="E24" s="113">
        <v>9648</v>
      </c>
      <c r="F24" s="113">
        <v>0</v>
      </c>
      <c r="G24" s="19">
        <f t="shared" ref="G24" si="4">E24+F24</f>
        <v>9648</v>
      </c>
      <c r="H24" s="20">
        <f t="shared" ref="H24" si="5">SUM(D24,G24)</f>
        <v>30509</v>
      </c>
    </row>
    <row r="25" spans="1:8" s="1" customFormat="1" ht="20.100000000000001" customHeight="1" x14ac:dyDescent="0.25">
      <c r="A25" s="390" t="s">
        <v>316</v>
      </c>
      <c r="B25" s="113">
        <v>0</v>
      </c>
      <c r="C25" s="113">
        <v>0</v>
      </c>
      <c r="D25" s="114">
        <f t="shared" si="0"/>
        <v>0</v>
      </c>
      <c r="E25" s="113">
        <v>0</v>
      </c>
      <c r="F25" s="113">
        <v>16480</v>
      </c>
      <c r="G25" s="19">
        <f t="shared" si="1"/>
        <v>16480</v>
      </c>
      <c r="H25" s="20">
        <f t="shared" si="2"/>
        <v>16480</v>
      </c>
    </row>
    <row r="26" spans="1:8" s="1" customFormat="1" ht="20.100000000000001" customHeight="1" thickBot="1" x14ac:dyDescent="0.3">
      <c r="A26" s="16" t="s">
        <v>155</v>
      </c>
      <c r="B26" s="17">
        <f>SUM(B10:B25)</f>
        <v>375679</v>
      </c>
      <c r="C26" s="17">
        <f t="shared" ref="C26:H26" si="6">SUM(C10:C25)</f>
        <v>62522</v>
      </c>
      <c r="D26" s="17">
        <f t="shared" si="6"/>
        <v>438201</v>
      </c>
      <c r="E26" s="17">
        <f t="shared" si="6"/>
        <v>969136</v>
      </c>
      <c r="F26" s="17">
        <f t="shared" si="6"/>
        <v>56163</v>
      </c>
      <c r="G26" s="17">
        <f t="shared" si="6"/>
        <v>1025299</v>
      </c>
      <c r="H26" s="17">
        <f t="shared" si="6"/>
        <v>1463500</v>
      </c>
    </row>
    <row r="27" spans="1:8" s="1" customFormat="1" ht="20.100000000000001" customHeight="1" thickBot="1" x14ac:dyDescent="0.3">
      <c r="A27" s="506"/>
      <c r="B27" s="507"/>
      <c r="C27" s="507"/>
      <c r="D27" s="507"/>
      <c r="E27" s="507"/>
      <c r="F27" s="507"/>
      <c r="G27" s="507"/>
      <c r="H27" s="507"/>
    </row>
    <row r="28" spans="1:8" s="1" customFormat="1" ht="20.100000000000001" customHeight="1" x14ac:dyDescent="0.25">
      <c r="A28" s="503" t="s">
        <v>317</v>
      </c>
      <c r="B28" s="504"/>
      <c r="C28" s="504"/>
      <c r="D28" s="504"/>
      <c r="E28" s="504"/>
      <c r="F28" s="504"/>
      <c r="G28" s="504"/>
      <c r="H28" s="505"/>
    </row>
    <row r="29" spans="1:8" s="1" customFormat="1" ht="20.100000000000001" customHeight="1" x14ac:dyDescent="0.25">
      <c r="A29" s="511" t="s">
        <v>297</v>
      </c>
      <c r="B29" s="510" t="s">
        <v>298</v>
      </c>
      <c r="C29" s="510"/>
      <c r="D29" s="510"/>
      <c r="E29" s="510" t="s">
        <v>299</v>
      </c>
      <c r="F29" s="510"/>
      <c r="G29" s="510"/>
      <c r="H29" s="502" t="s">
        <v>155</v>
      </c>
    </row>
    <row r="30" spans="1:8" s="1" customFormat="1" ht="20.100000000000001" customHeight="1" thickBot="1" x14ac:dyDescent="0.3">
      <c r="A30" s="512"/>
      <c r="B30" s="389" t="s">
        <v>300</v>
      </c>
      <c r="C30" s="389" t="s">
        <v>301</v>
      </c>
      <c r="D30" s="389" t="s">
        <v>155</v>
      </c>
      <c r="E30" s="389" t="s">
        <v>300</v>
      </c>
      <c r="F30" s="389" t="s">
        <v>301</v>
      </c>
      <c r="G30" s="389" t="s">
        <v>155</v>
      </c>
      <c r="H30" s="545"/>
    </row>
    <row r="31" spans="1:8" s="1" customFormat="1" ht="20.100000000000001" customHeight="1" x14ac:dyDescent="0.25">
      <c r="A31" s="21" t="s">
        <v>147</v>
      </c>
      <c r="B31" s="13">
        <v>342500</v>
      </c>
      <c r="C31" s="13">
        <v>76070</v>
      </c>
      <c r="D31" s="14">
        <f>B31+C31</f>
        <v>418570</v>
      </c>
      <c r="E31" s="13">
        <v>27845</v>
      </c>
      <c r="F31" s="13">
        <v>11470</v>
      </c>
      <c r="G31" s="18">
        <f>E31+F31</f>
        <v>39315</v>
      </c>
      <c r="H31" s="20">
        <f>SUM(D31,G31)</f>
        <v>457885</v>
      </c>
    </row>
    <row r="32" spans="1:8" s="1" customFormat="1" ht="20.100000000000001" customHeight="1" x14ac:dyDescent="0.25">
      <c r="A32" s="390" t="s">
        <v>302</v>
      </c>
      <c r="B32" s="13">
        <v>0</v>
      </c>
      <c r="C32" s="13">
        <v>0</v>
      </c>
      <c r="D32" s="14">
        <f>B32+C32</f>
        <v>0</v>
      </c>
      <c r="E32" s="13">
        <v>0</v>
      </c>
      <c r="F32" s="13">
        <v>0</v>
      </c>
      <c r="G32" s="18">
        <f>E32+F32</f>
        <v>0</v>
      </c>
      <c r="H32" s="20">
        <f>SUM(D32,G32)</f>
        <v>0</v>
      </c>
    </row>
    <row r="33" spans="1:8" s="1" customFormat="1" ht="20.100000000000001" customHeight="1" x14ac:dyDescent="0.25">
      <c r="A33" s="390" t="s">
        <v>303</v>
      </c>
      <c r="B33" s="113">
        <v>0</v>
      </c>
      <c r="C33" s="113">
        <v>0</v>
      </c>
      <c r="D33" s="114">
        <f t="shared" ref="D33:D34" si="7">B33+C33</f>
        <v>0</v>
      </c>
      <c r="E33" s="113">
        <v>920700</v>
      </c>
      <c r="F33" s="113">
        <v>0</v>
      </c>
      <c r="G33" s="19">
        <f t="shared" ref="G33:G34" si="8">E33+F33</f>
        <v>920700</v>
      </c>
      <c r="H33" s="20">
        <f t="shared" ref="H33:H34" si="9">SUM(D33,G33)</f>
        <v>920700</v>
      </c>
    </row>
    <row r="34" spans="1:8" s="1" customFormat="1" ht="20.100000000000001" customHeight="1" x14ac:dyDescent="0.25">
      <c r="A34" s="390" t="s">
        <v>304</v>
      </c>
      <c r="B34" s="113">
        <v>0</v>
      </c>
      <c r="C34" s="113">
        <v>0</v>
      </c>
      <c r="D34" s="114">
        <f t="shared" si="7"/>
        <v>0</v>
      </c>
      <c r="E34" s="113">
        <v>19800</v>
      </c>
      <c r="F34" s="113">
        <v>0</v>
      </c>
      <c r="G34" s="19">
        <f t="shared" si="8"/>
        <v>19800</v>
      </c>
      <c r="H34" s="20">
        <f t="shared" si="9"/>
        <v>19800</v>
      </c>
    </row>
    <row r="35" spans="1:8" s="1" customFormat="1" ht="20.100000000000001" customHeight="1" x14ac:dyDescent="0.25">
      <c r="A35" s="28" t="s">
        <v>305</v>
      </c>
      <c r="B35" s="115"/>
      <c r="C35" s="115"/>
      <c r="D35" s="115"/>
      <c r="E35" s="115"/>
      <c r="F35" s="115"/>
      <c r="G35" s="29"/>
      <c r="H35" s="29"/>
    </row>
    <row r="36" spans="1:8" s="1" customFormat="1" ht="20.100000000000001" customHeight="1" x14ac:dyDescent="0.25">
      <c r="A36" s="390" t="s">
        <v>306</v>
      </c>
      <c r="B36" s="113">
        <v>0</v>
      </c>
      <c r="C36" s="113">
        <v>0</v>
      </c>
      <c r="D36" s="114">
        <f t="shared" ref="D36" si="10">B36+C36</f>
        <v>0</v>
      </c>
      <c r="E36" s="113">
        <v>0</v>
      </c>
      <c r="F36" s="113">
        <v>0</v>
      </c>
      <c r="G36" s="19">
        <f t="shared" ref="G36" si="11">E36+F36</f>
        <v>0</v>
      </c>
      <c r="H36" s="20">
        <f t="shared" ref="H36" si="12">SUM(D36,G36)</f>
        <v>0</v>
      </c>
    </row>
    <row r="37" spans="1:8" s="1" customFormat="1" ht="20.100000000000001" customHeight="1" x14ac:dyDescent="0.25">
      <c r="A37" s="390" t="s">
        <v>307</v>
      </c>
      <c r="B37" s="113">
        <v>0</v>
      </c>
      <c r="C37" s="113">
        <v>0</v>
      </c>
      <c r="D37" s="114">
        <f t="shared" ref="D37" si="13">B37+C37</f>
        <v>0</v>
      </c>
      <c r="E37" s="113">
        <v>0</v>
      </c>
      <c r="F37" s="113">
        <v>0</v>
      </c>
      <c r="G37" s="19">
        <f t="shared" ref="G37" si="14">E37+F37</f>
        <v>0</v>
      </c>
      <c r="H37" s="20">
        <f t="shared" ref="H37" si="15">SUM(D37,G37)</f>
        <v>0</v>
      </c>
    </row>
    <row r="38" spans="1:8" s="1" customFormat="1" ht="20.100000000000001" customHeight="1" x14ac:dyDescent="0.25">
      <c r="A38" s="390" t="s">
        <v>308</v>
      </c>
      <c r="B38" s="113">
        <v>0</v>
      </c>
      <c r="C38" s="113">
        <v>0</v>
      </c>
      <c r="D38" s="114">
        <f t="shared" ref="D38:D46" si="16">B38+C38</f>
        <v>0</v>
      </c>
      <c r="E38" s="113">
        <v>0</v>
      </c>
      <c r="F38" s="113">
        <v>0</v>
      </c>
      <c r="G38" s="19">
        <f t="shared" ref="G38:G46" si="17">E38+F38</f>
        <v>0</v>
      </c>
      <c r="H38" s="20">
        <f t="shared" ref="H38:H46" si="18">SUM(D38,G38)</f>
        <v>0</v>
      </c>
    </row>
    <row r="39" spans="1:8" s="1" customFormat="1" ht="20.100000000000001" customHeight="1" x14ac:dyDescent="0.25">
      <c r="A39" s="390" t="s">
        <v>309</v>
      </c>
      <c r="B39" s="113">
        <v>0</v>
      </c>
      <c r="C39" s="113">
        <v>0</v>
      </c>
      <c r="D39" s="114">
        <f t="shared" si="16"/>
        <v>0</v>
      </c>
      <c r="E39" s="113">
        <v>0</v>
      </c>
      <c r="F39" s="113">
        <v>0</v>
      </c>
      <c r="G39" s="19">
        <f t="shared" si="17"/>
        <v>0</v>
      </c>
      <c r="H39" s="20">
        <f t="shared" si="18"/>
        <v>0</v>
      </c>
    </row>
    <row r="40" spans="1:8" s="1" customFormat="1" ht="20.100000000000001" customHeight="1" x14ac:dyDescent="0.25">
      <c r="A40" s="390" t="s">
        <v>310</v>
      </c>
      <c r="B40" s="113">
        <v>0</v>
      </c>
      <c r="C40" s="113">
        <v>0</v>
      </c>
      <c r="D40" s="114">
        <f t="shared" si="16"/>
        <v>0</v>
      </c>
      <c r="E40" s="113">
        <v>0</v>
      </c>
      <c r="F40" s="113">
        <v>0</v>
      </c>
      <c r="G40" s="19">
        <f t="shared" si="17"/>
        <v>0</v>
      </c>
      <c r="H40" s="20">
        <f t="shared" si="18"/>
        <v>0</v>
      </c>
    </row>
    <row r="41" spans="1:8" s="1" customFormat="1" ht="20.100000000000001" customHeight="1" x14ac:dyDescent="0.25">
      <c r="A41" s="390" t="s">
        <v>311</v>
      </c>
      <c r="B41" s="113">
        <v>0</v>
      </c>
      <c r="C41" s="113">
        <v>0</v>
      </c>
      <c r="D41" s="114">
        <f t="shared" si="16"/>
        <v>0</v>
      </c>
      <c r="E41" s="113">
        <v>0</v>
      </c>
      <c r="F41" s="113">
        <v>0</v>
      </c>
      <c r="G41" s="19">
        <f t="shared" si="17"/>
        <v>0</v>
      </c>
      <c r="H41" s="20">
        <f t="shared" si="18"/>
        <v>0</v>
      </c>
    </row>
    <row r="42" spans="1:8" s="1" customFormat="1" ht="20.100000000000001" customHeight="1" x14ac:dyDescent="0.25">
      <c r="A42" s="390" t="s">
        <v>312</v>
      </c>
      <c r="B42" s="113">
        <v>42885</v>
      </c>
      <c r="C42" s="113">
        <v>0</v>
      </c>
      <c r="D42" s="114">
        <f t="shared" si="16"/>
        <v>42885</v>
      </c>
      <c r="E42" s="113">
        <v>0</v>
      </c>
      <c r="F42" s="113">
        <v>0</v>
      </c>
      <c r="G42" s="19">
        <f t="shared" si="17"/>
        <v>0</v>
      </c>
      <c r="H42" s="20">
        <f t="shared" si="18"/>
        <v>42885</v>
      </c>
    </row>
    <row r="43" spans="1:8" s="1" customFormat="1" ht="20.100000000000001" customHeight="1" x14ac:dyDescent="0.25">
      <c r="A43" s="390" t="s">
        <v>313</v>
      </c>
      <c r="B43" s="113">
        <v>0</v>
      </c>
      <c r="C43" s="113">
        <v>0</v>
      </c>
      <c r="D43" s="114">
        <f t="shared" si="16"/>
        <v>0</v>
      </c>
      <c r="E43" s="113">
        <v>0</v>
      </c>
      <c r="F43" s="113">
        <v>0</v>
      </c>
      <c r="G43" s="19">
        <f t="shared" si="17"/>
        <v>0</v>
      </c>
      <c r="H43" s="20">
        <f t="shared" si="18"/>
        <v>0</v>
      </c>
    </row>
    <row r="44" spans="1:8" s="1" customFormat="1" ht="20.100000000000001" customHeight="1" x14ac:dyDescent="0.25">
      <c r="A44" s="390" t="s">
        <v>314</v>
      </c>
      <c r="B44" s="113">
        <v>90301</v>
      </c>
      <c r="C44" s="113">
        <v>0</v>
      </c>
      <c r="D44" s="114">
        <f t="shared" si="16"/>
        <v>90301</v>
      </c>
      <c r="E44" s="113">
        <v>0</v>
      </c>
      <c r="F44" s="113">
        <v>0</v>
      </c>
      <c r="G44" s="19">
        <f t="shared" si="17"/>
        <v>0</v>
      </c>
      <c r="H44" s="20">
        <f t="shared" si="18"/>
        <v>90301</v>
      </c>
    </row>
    <row r="45" spans="1:8" s="1" customFormat="1" ht="20.100000000000001" customHeight="1" x14ac:dyDescent="0.25">
      <c r="A45" s="390" t="s">
        <v>315</v>
      </c>
      <c r="B45" s="113">
        <v>10536</v>
      </c>
      <c r="C45" s="113">
        <v>0</v>
      </c>
      <c r="D45" s="114">
        <f t="shared" si="16"/>
        <v>10536</v>
      </c>
      <c r="E45" s="113">
        <v>2517</v>
      </c>
      <c r="F45" s="113">
        <v>0</v>
      </c>
      <c r="G45" s="19">
        <f t="shared" si="17"/>
        <v>2517</v>
      </c>
      <c r="H45" s="20">
        <f t="shared" si="18"/>
        <v>13053</v>
      </c>
    </row>
    <row r="46" spans="1:8" s="1" customFormat="1" ht="20.100000000000001" customHeight="1" x14ac:dyDescent="0.25">
      <c r="A46" s="390" t="s">
        <v>316</v>
      </c>
      <c r="B46" s="113">
        <v>0</v>
      </c>
      <c r="C46" s="113">
        <v>0</v>
      </c>
      <c r="D46" s="114">
        <f t="shared" si="16"/>
        <v>0</v>
      </c>
      <c r="E46" s="113">
        <v>0</v>
      </c>
      <c r="F46" s="113">
        <v>0</v>
      </c>
      <c r="G46" s="19">
        <f t="shared" si="17"/>
        <v>0</v>
      </c>
      <c r="H46" s="20">
        <f t="shared" si="18"/>
        <v>0</v>
      </c>
    </row>
    <row r="47" spans="1:8" s="1" customFormat="1" ht="20.100000000000001" customHeight="1" thickBot="1" x14ac:dyDescent="0.3">
      <c r="A47" s="16" t="s">
        <v>155</v>
      </c>
      <c r="B47" s="17">
        <f>SUM(B31:B46)</f>
        <v>486222</v>
      </c>
      <c r="C47" s="17">
        <f t="shared" ref="C47" si="19">SUM(C31:C46)</f>
        <v>76070</v>
      </c>
      <c r="D47" s="17">
        <f t="shared" ref="D47" si="20">SUM(D31:D46)</f>
        <v>562292</v>
      </c>
      <c r="E47" s="17">
        <f t="shared" ref="E47" si="21">SUM(E31:E46)</f>
        <v>970862</v>
      </c>
      <c r="F47" s="17">
        <f t="shared" ref="F47" si="22">SUM(F31:F46)</f>
        <v>11470</v>
      </c>
      <c r="G47" s="17">
        <f t="shared" ref="G47" si="23">SUM(G31:G46)</f>
        <v>982332</v>
      </c>
      <c r="H47" s="17">
        <f t="shared" ref="H47" si="24">SUM(H31:H46)</f>
        <v>1544624</v>
      </c>
    </row>
    <row r="48" spans="1:8" s="1" customFormat="1" ht="20.100000000000001" customHeight="1" thickBot="1" x14ac:dyDescent="0.3">
      <c r="A48" s="506"/>
      <c r="B48" s="507"/>
      <c r="C48" s="507"/>
      <c r="D48" s="507"/>
      <c r="E48" s="507"/>
      <c r="F48" s="507"/>
      <c r="G48" s="507"/>
      <c r="H48" s="507"/>
    </row>
    <row r="49" spans="1:8" s="1" customFormat="1" ht="20.100000000000001" customHeight="1" x14ac:dyDescent="0.25">
      <c r="A49" s="503" t="s">
        <v>318</v>
      </c>
      <c r="B49" s="504"/>
      <c r="C49" s="504"/>
      <c r="D49" s="504"/>
      <c r="E49" s="504"/>
      <c r="F49" s="504"/>
      <c r="G49" s="504"/>
      <c r="H49" s="505"/>
    </row>
    <row r="50" spans="1:8" s="1" customFormat="1" ht="20.100000000000001" customHeight="1" x14ac:dyDescent="0.25">
      <c r="A50" s="511" t="s">
        <v>297</v>
      </c>
      <c r="B50" s="510" t="s">
        <v>298</v>
      </c>
      <c r="C50" s="510"/>
      <c r="D50" s="510"/>
      <c r="E50" s="510" t="s">
        <v>299</v>
      </c>
      <c r="F50" s="510"/>
      <c r="G50" s="510"/>
      <c r="H50" s="502" t="s">
        <v>155</v>
      </c>
    </row>
    <row r="51" spans="1:8" s="1" customFormat="1" ht="20.100000000000001" customHeight="1" thickBot="1" x14ac:dyDescent="0.3">
      <c r="A51" s="512"/>
      <c r="B51" s="389" t="s">
        <v>300</v>
      </c>
      <c r="C51" s="389" t="s">
        <v>301</v>
      </c>
      <c r="D51" s="389" t="s">
        <v>155</v>
      </c>
      <c r="E51" s="389" t="s">
        <v>300</v>
      </c>
      <c r="F51" s="389" t="s">
        <v>301</v>
      </c>
      <c r="G51" s="389" t="s">
        <v>155</v>
      </c>
      <c r="H51" s="502"/>
    </row>
    <row r="52" spans="1:8" s="1" customFormat="1" ht="20.100000000000001" customHeight="1" x14ac:dyDescent="0.25">
      <c r="A52" s="21" t="s">
        <v>147</v>
      </c>
      <c r="B52" s="13">
        <v>356200</v>
      </c>
      <c r="C52" s="13">
        <v>79113</v>
      </c>
      <c r="D52" s="14">
        <f>B52+C52</f>
        <v>435313</v>
      </c>
      <c r="E52" s="13">
        <v>28959</v>
      </c>
      <c r="F52" s="13">
        <v>11929</v>
      </c>
      <c r="G52" s="18">
        <f>E52+F52</f>
        <v>40888</v>
      </c>
      <c r="H52" s="20">
        <f>SUM(D52,G52)</f>
        <v>476201</v>
      </c>
    </row>
    <row r="53" spans="1:8" s="1" customFormat="1" ht="20.100000000000001" customHeight="1" x14ac:dyDescent="0.25">
      <c r="A53" s="390" t="s">
        <v>302</v>
      </c>
      <c r="B53" s="13">
        <v>0</v>
      </c>
      <c r="C53" s="13">
        <v>0</v>
      </c>
      <c r="D53" s="14">
        <f>B53+C53</f>
        <v>0</v>
      </c>
      <c r="E53" s="13">
        <v>0</v>
      </c>
      <c r="F53" s="13">
        <v>0</v>
      </c>
      <c r="G53" s="18">
        <f>E53+F53</f>
        <v>0</v>
      </c>
      <c r="H53" s="20">
        <f>SUM(D53,G53)</f>
        <v>0</v>
      </c>
    </row>
    <row r="54" spans="1:8" s="1" customFormat="1" ht="20.100000000000001" customHeight="1" x14ac:dyDescent="0.25">
      <c r="A54" s="390" t="s">
        <v>303</v>
      </c>
      <c r="B54" s="113">
        <v>0</v>
      </c>
      <c r="C54" s="113">
        <v>0</v>
      </c>
      <c r="D54" s="114">
        <f t="shared" ref="D54:D55" si="25">B54+C54</f>
        <v>0</v>
      </c>
      <c r="E54" s="113">
        <v>957528</v>
      </c>
      <c r="F54" s="113">
        <v>0</v>
      </c>
      <c r="G54" s="19">
        <f t="shared" ref="G54:G55" si="26">E54+F54</f>
        <v>957528</v>
      </c>
      <c r="H54" s="20">
        <f t="shared" ref="H54:H55" si="27">SUM(D54,G54)</f>
        <v>957528</v>
      </c>
    </row>
    <row r="55" spans="1:8" s="1" customFormat="1" ht="20.100000000000001" customHeight="1" x14ac:dyDescent="0.25">
      <c r="A55" s="390" t="s">
        <v>304</v>
      </c>
      <c r="B55" s="113">
        <v>0</v>
      </c>
      <c r="C55" s="113">
        <v>0</v>
      </c>
      <c r="D55" s="114">
        <f t="shared" si="25"/>
        <v>0</v>
      </c>
      <c r="E55" s="113">
        <v>20592</v>
      </c>
      <c r="F55" s="113">
        <v>0</v>
      </c>
      <c r="G55" s="19">
        <f t="shared" si="26"/>
        <v>20592</v>
      </c>
      <c r="H55" s="20">
        <f t="shared" si="27"/>
        <v>20592</v>
      </c>
    </row>
    <row r="56" spans="1:8" s="1" customFormat="1" ht="20.100000000000001" customHeight="1" x14ac:dyDescent="0.25">
      <c r="A56" s="28" t="s">
        <v>305</v>
      </c>
      <c r="B56" s="113">
        <v>0</v>
      </c>
      <c r="C56" s="113">
        <v>0</v>
      </c>
      <c r="D56" s="114">
        <f t="shared" ref="D56" si="28">B56+C56</f>
        <v>0</v>
      </c>
      <c r="E56" s="113">
        <v>0</v>
      </c>
      <c r="F56" s="113">
        <v>0</v>
      </c>
      <c r="G56" s="19">
        <f t="shared" ref="G56" si="29">E56+F56</f>
        <v>0</v>
      </c>
      <c r="H56" s="20">
        <f t="shared" ref="H56" si="30">SUM(D56,G56)</f>
        <v>0</v>
      </c>
    </row>
    <row r="57" spans="1:8" s="1" customFormat="1" ht="20.100000000000001" customHeight="1" x14ac:dyDescent="0.25">
      <c r="A57" s="390" t="s">
        <v>306</v>
      </c>
      <c r="B57" s="113">
        <v>0</v>
      </c>
      <c r="C57" s="113">
        <v>0</v>
      </c>
      <c r="D57" s="114">
        <f t="shared" ref="D57:D67" si="31">B57+C57</f>
        <v>0</v>
      </c>
      <c r="E57" s="113">
        <v>0</v>
      </c>
      <c r="F57" s="113">
        <v>0</v>
      </c>
      <c r="G57" s="19">
        <f t="shared" ref="G57:G67" si="32">E57+F57</f>
        <v>0</v>
      </c>
      <c r="H57" s="20">
        <f t="shared" ref="H57:H67" si="33">SUM(D57,G57)</f>
        <v>0</v>
      </c>
    </row>
    <row r="58" spans="1:8" s="1" customFormat="1" ht="20.100000000000001" customHeight="1" x14ac:dyDescent="0.25">
      <c r="A58" s="390" t="s">
        <v>307</v>
      </c>
      <c r="B58" s="113">
        <v>0</v>
      </c>
      <c r="C58" s="113">
        <v>0</v>
      </c>
      <c r="D58" s="114">
        <f t="shared" si="31"/>
        <v>0</v>
      </c>
      <c r="E58" s="113">
        <v>0</v>
      </c>
      <c r="F58" s="113">
        <v>0</v>
      </c>
      <c r="G58" s="19">
        <f t="shared" si="32"/>
        <v>0</v>
      </c>
      <c r="H58" s="20">
        <f t="shared" si="33"/>
        <v>0</v>
      </c>
    </row>
    <row r="59" spans="1:8" s="1" customFormat="1" ht="20.100000000000001" customHeight="1" x14ac:dyDescent="0.25">
      <c r="A59" s="390" t="s">
        <v>308</v>
      </c>
      <c r="B59" s="113">
        <v>0</v>
      </c>
      <c r="C59" s="113">
        <v>0</v>
      </c>
      <c r="D59" s="114">
        <f t="shared" si="31"/>
        <v>0</v>
      </c>
      <c r="E59" s="113">
        <v>0</v>
      </c>
      <c r="F59" s="113">
        <v>0</v>
      </c>
      <c r="G59" s="19">
        <f t="shared" si="32"/>
        <v>0</v>
      </c>
      <c r="H59" s="20">
        <f t="shared" si="33"/>
        <v>0</v>
      </c>
    </row>
    <row r="60" spans="1:8" s="1" customFormat="1" ht="20.100000000000001" customHeight="1" x14ac:dyDescent="0.25">
      <c r="A60" s="390" t="s">
        <v>309</v>
      </c>
      <c r="B60" s="113">
        <v>0</v>
      </c>
      <c r="C60" s="113">
        <v>0</v>
      </c>
      <c r="D60" s="114">
        <f t="shared" si="31"/>
        <v>0</v>
      </c>
      <c r="E60" s="113">
        <v>0</v>
      </c>
      <c r="F60" s="113">
        <v>0</v>
      </c>
      <c r="G60" s="19">
        <f t="shared" si="32"/>
        <v>0</v>
      </c>
      <c r="H60" s="20">
        <f t="shared" si="33"/>
        <v>0</v>
      </c>
    </row>
    <row r="61" spans="1:8" s="1" customFormat="1" ht="20.100000000000001" customHeight="1" x14ac:dyDescent="0.25">
      <c r="A61" s="390" t="s">
        <v>310</v>
      </c>
      <c r="B61" s="113">
        <v>0</v>
      </c>
      <c r="C61" s="113">
        <v>0</v>
      </c>
      <c r="D61" s="114">
        <f t="shared" si="31"/>
        <v>0</v>
      </c>
      <c r="E61" s="113">
        <v>0</v>
      </c>
      <c r="F61" s="113">
        <v>0</v>
      </c>
      <c r="G61" s="19">
        <f t="shared" si="32"/>
        <v>0</v>
      </c>
      <c r="H61" s="20">
        <f t="shared" si="33"/>
        <v>0</v>
      </c>
    </row>
    <row r="62" spans="1:8" s="1" customFormat="1" ht="20.100000000000001" customHeight="1" x14ac:dyDescent="0.25">
      <c r="A62" s="390" t="s">
        <v>311</v>
      </c>
      <c r="B62" s="113">
        <v>0</v>
      </c>
      <c r="C62" s="113">
        <v>0</v>
      </c>
      <c r="D62" s="114">
        <f t="shared" si="31"/>
        <v>0</v>
      </c>
      <c r="E62" s="113">
        <v>0</v>
      </c>
      <c r="F62" s="113">
        <v>0</v>
      </c>
      <c r="G62" s="19">
        <f t="shared" si="32"/>
        <v>0</v>
      </c>
      <c r="H62" s="20">
        <f t="shared" si="33"/>
        <v>0</v>
      </c>
    </row>
    <row r="63" spans="1:8" s="1" customFormat="1" ht="20.100000000000001" customHeight="1" x14ac:dyDescent="0.25">
      <c r="A63" s="390" t="s">
        <v>312</v>
      </c>
      <c r="B63" s="113">
        <v>44600</v>
      </c>
      <c r="C63" s="113">
        <v>0</v>
      </c>
      <c r="D63" s="114">
        <f t="shared" si="31"/>
        <v>44600</v>
      </c>
      <c r="E63" s="113">
        <v>0</v>
      </c>
      <c r="F63" s="113">
        <v>0</v>
      </c>
      <c r="G63" s="19">
        <f t="shared" si="32"/>
        <v>0</v>
      </c>
      <c r="H63" s="20">
        <f t="shared" si="33"/>
        <v>44600</v>
      </c>
    </row>
    <row r="64" spans="1:8" s="1" customFormat="1" ht="20.100000000000001" customHeight="1" x14ac:dyDescent="0.25">
      <c r="A64" s="390" t="s">
        <v>313</v>
      </c>
      <c r="B64" s="113">
        <v>0</v>
      </c>
      <c r="C64" s="113">
        <v>0</v>
      </c>
      <c r="D64" s="114">
        <f t="shared" si="31"/>
        <v>0</v>
      </c>
      <c r="E64" s="113">
        <v>0</v>
      </c>
      <c r="F64" s="113">
        <v>0</v>
      </c>
      <c r="G64" s="19">
        <f t="shared" si="32"/>
        <v>0</v>
      </c>
      <c r="H64" s="20">
        <f t="shared" si="33"/>
        <v>0</v>
      </c>
    </row>
    <row r="65" spans="1:8" s="1" customFormat="1" ht="20.100000000000001" customHeight="1" x14ac:dyDescent="0.25">
      <c r="A65" s="390" t="s">
        <v>314</v>
      </c>
      <c r="B65" s="113">
        <v>93913</v>
      </c>
      <c r="C65" s="113">
        <v>0</v>
      </c>
      <c r="D65" s="114">
        <f t="shared" si="31"/>
        <v>93913</v>
      </c>
      <c r="E65" s="113">
        <v>0</v>
      </c>
      <c r="F65" s="113">
        <v>0</v>
      </c>
      <c r="G65" s="19">
        <f t="shared" si="32"/>
        <v>0</v>
      </c>
      <c r="H65" s="20">
        <f t="shared" si="33"/>
        <v>93913</v>
      </c>
    </row>
    <row r="66" spans="1:8" s="1" customFormat="1" ht="20.100000000000001" customHeight="1" x14ac:dyDescent="0.25">
      <c r="A66" s="390" t="s">
        <v>315</v>
      </c>
      <c r="B66" s="113">
        <v>10957</v>
      </c>
      <c r="C66" s="113">
        <v>0</v>
      </c>
      <c r="D66" s="114">
        <f t="shared" si="31"/>
        <v>10957</v>
      </c>
      <c r="E66" s="113">
        <v>2618</v>
      </c>
      <c r="F66" s="113">
        <v>0</v>
      </c>
      <c r="G66" s="19">
        <f t="shared" si="32"/>
        <v>2618</v>
      </c>
      <c r="H66" s="20">
        <f t="shared" si="33"/>
        <v>13575</v>
      </c>
    </row>
    <row r="67" spans="1:8" s="1" customFormat="1" ht="20.100000000000001" customHeight="1" x14ac:dyDescent="0.25">
      <c r="A67" s="390" t="s">
        <v>316</v>
      </c>
      <c r="B67" s="113">
        <v>0</v>
      </c>
      <c r="C67" s="113">
        <v>0</v>
      </c>
      <c r="D67" s="114">
        <f t="shared" si="31"/>
        <v>0</v>
      </c>
      <c r="E67" s="113">
        <v>0</v>
      </c>
      <c r="F67" s="113">
        <v>0</v>
      </c>
      <c r="G67" s="19">
        <f t="shared" si="32"/>
        <v>0</v>
      </c>
      <c r="H67" s="20">
        <f t="shared" si="33"/>
        <v>0</v>
      </c>
    </row>
    <row r="68" spans="1:8" s="1" customFormat="1" ht="20.100000000000001" customHeight="1" thickBot="1" x14ac:dyDescent="0.3">
      <c r="A68" s="16" t="s">
        <v>155</v>
      </c>
      <c r="B68" s="17">
        <f>SUM(B52:B67)</f>
        <v>505670</v>
      </c>
      <c r="C68" s="17">
        <f t="shared" ref="C68" si="34">SUM(C52:C67)</f>
        <v>79113</v>
      </c>
      <c r="D68" s="17">
        <f t="shared" ref="D68" si="35">SUM(D52:D67)</f>
        <v>584783</v>
      </c>
      <c r="E68" s="17">
        <f t="shared" ref="E68" si="36">SUM(E52:E67)</f>
        <v>1009697</v>
      </c>
      <c r="F68" s="17">
        <f t="shared" ref="F68" si="37">SUM(F52:F67)</f>
        <v>11929</v>
      </c>
      <c r="G68" s="17">
        <f t="shared" ref="G68" si="38">SUM(G52:G67)</f>
        <v>1021626</v>
      </c>
      <c r="H68" s="17">
        <f t="shared" ref="H68" si="39">SUM(H52:H67)</f>
        <v>1606409</v>
      </c>
    </row>
    <row r="69" spans="1:8" s="1" customFormat="1" ht="20.100000000000001" customHeight="1" thickBot="1" x14ac:dyDescent="0.3">
      <c r="A69" s="506"/>
      <c r="B69" s="507"/>
      <c r="C69" s="507"/>
      <c r="D69" s="507"/>
      <c r="E69" s="507"/>
      <c r="F69" s="507"/>
      <c r="G69" s="507"/>
      <c r="H69" s="507"/>
    </row>
    <row r="70" spans="1:8" s="1" customFormat="1" ht="20.100000000000001" customHeight="1" x14ac:dyDescent="0.25">
      <c r="A70" s="503" t="s">
        <v>319</v>
      </c>
      <c r="B70" s="504"/>
      <c r="C70" s="504"/>
      <c r="D70" s="504"/>
      <c r="E70" s="504"/>
      <c r="F70" s="504"/>
      <c r="G70" s="504"/>
      <c r="H70" s="505"/>
    </row>
    <row r="71" spans="1:8" s="1" customFormat="1" ht="20.100000000000001" customHeight="1" x14ac:dyDescent="0.25">
      <c r="A71" s="511" t="s">
        <v>297</v>
      </c>
      <c r="B71" s="510" t="s">
        <v>298</v>
      </c>
      <c r="C71" s="510"/>
      <c r="D71" s="510"/>
      <c r="E71" s="510" t="s">
        <v>299</v>
      </c>
      <c r="F71" s="510"/>
      <c r="G71" s="510"/>
      <c r="H71" s="502" t="s">
        <v>155</v>
      </c>
    </row>
    <row r="72" spans="1:8" s="1" customFormat="1" ht="20.100000000000001" customHeight="1" thickBot="1" x14ac:dyDescent="0.3">
      <c r="A72" s="512"/>
      <c r="B72" s="389" t="s">
        <v>300</v>
      </c>
      <c r="C72" s="389" t="s">
        <v>301</v>
      </c>
      <c r="D72" s="389" t="s">
        <v>155</v>
      </c>
      <c r="E72" s="389" t="s">
        <v>300</v>
      </c>
      <c r="F72" s="389" t="s">
        <v>301</v>
      </c>
      <c r="G72" s="389" t="s">
        <v>155</v>
      </c>
      <c r="H72" s="502"/>
    </row>
    <row r="73" spans="1:8" s="1" customFormat="1" ht="20.100000000000001" customHeight="1" x14ac:dyDescent="0.25">
      <c r="A73" s="21" t="s">
        <v>147</v>
      </c>
      <c r="B73" s="13">
        <v>370448</v>
      </c>
      <c r="C73" s="13">
        <v>82277</v>
      </c>
      <c r="D73" s="14">
        <f>B73+C73</f>
        <v>452725</v>
      </c>
      <c r="E73" s="13">
        <v>30117</v>
      </c>
      <c r="F73" s="13">
        <v>12406</v>
      </c>
      <c r="G73" s="18">
        <f>E73+F73</f>
        <v>42523</v>
      </c>
      <c r="H73" s="20">
        <f>SUM(D73,G73)</f>
        <v>495248</v>
      </c>
    </row>
    <row r="74" spans="1:8" s="1" customFormat="1" ht="20.100000000000001" customHeight="1" x14ac:dyDescent="0.25">
      <c r="A74" s="390" t="s">
        <v>302</v>
      </c>
      <c r="B74" s="13">
        <v>0</v>
      </c>
      <c r="C74" s="13">
        <v>0</v>
      </c>
      <c r="D74" s="14">
        <f>B74+C74</f>
        <v>0</v>
      </c>
      <c r="E74" s="13">
        <v>0</v>
      </c>
      <c r="F74" s="13">
        <v>0</v>
      </c>
      <c r="G74" s="18">
        <f>E74+F74</f>
        <v>0</v>
      </c>
      <c r="H74" s="20">
        <f>SUM(D74,G74)</f>
        <v>0</v>
      </c>
    </row>
    <row r="75" spans="1:8" s="1" customFormat="1" ht="20.100000000000001" customHeight="1" x14ac:dyDescent="0.25">
      <c r="A75" s="390" t="s">
        <v>303</v>
      </c>
      <c r="B75" s="113">
        <v>0</v>
      </c>
      <c r="C75" s="113">
        <v>0</v>
      </c>
      <c r="D75" s="114">
        <f t="shared" ref="D75:D88" si="40">B75+C75</f>
        <v>0</v>
      </c>
      <c r="E75" s="113">
        <v>995829</v>
      </c>
      <c r="F75" s="113">
        <v>0</v>
      </c>
      <c r="G75" s="19">
        <f t="shared" ref="G75:G88" si="41">E75+F75</f>
        <v>995829</v>
      </c>
      <c r="H75" s="20">
        <f t="shared" ref="H75:H88" si="42">SUM(D75,G75)</f>
        <v>995829</v>
      </c>
    </row>
    <row r="76" spans="1:8" s="1" customFormat="1" ht="20.100000000000001" customHeight="1" x14ac:dyDescent="0.25">
      <c r="A76" s="390" t="s">
        <v>304</v>
      </c>
      <c r="B76" s="113">
        <v>0</v>
      </c>
      <c r="C76" s="113">
        <v>0</v>
      </c>
      <c r="D76" s="114">
        <f t="shared" si="40"/>
        <v>0</v>
      </c>
      <c r="E76" s="113">
        <v>21416</v>
      </c>
      <c r="F76" s="113">
        <v>0</v>
      </c>
      <c r="G76" s="19">
        <f t="shared" si="41"/>
        <v>21416</v>
      </c>
      <c r="H76" s="20">
        <f t="shared" si="42"/>
        <v>21416</v>
      </c>
    </row>
    <row r="77" spans="1:8" s="1" customFormat="1" ht="20.100000000000001" customHeight="1" x14ac:dyDescent="0.25">
      <c r="A77" s="28" t="s">
        <v>305</v>
      </c>
      <c r="B77" s="113">
        <v>0</v>
      </c>
      <c r="C77" s="113">
        <v>0</v>
      </c>
      <c r="D77" s="114">
        <f t="shared" si="40"/>
        <v>0</v>
      </c>
      <c r="E77" s="113">
        <v>0</v>
      </c>
      <c r="F77" s="113">
        <v>0</v>
      </c>
      <c r="G77" s="19">
        <f t="shared" si="41"/>
        <v>0</v>
      </c>
      <c r="H77" s="20">
        <f t="shared" si="42"/>
        <v>0</v>
      </c>
    </row>
    <row r="78" spans="1:8" s="1" customFormat="1" ht="20.100000000000001" customHeight="1" x14ac:dyDescent="0.25">
      <c r="A78" s="390" t="s">
        <v>306</v>
      </c>
      <c r="B78" s="113">
        <v>0</v>
      </c>
      <c r="C78" s="113">
        <v>0</v>
      </c>
      <c r="D78" s="114">
        <f t="shared" si="40"/>
        <v>0</v>
      </c>
      <c r="E78" s="113">
        <v>0</v>
      </c>
      <c r="F78" s="113">
        <v>0</v>
      </c>
      <c r="G78" s="19">
        <f t="shared" si="41"/>
        <v>0</v>
      </c>
      <c r="H78" s="20">
        <f t="shared" si="42"/>
        <v>0</v>
      </c>
    </row>
    <row r="79" spans="1:8" s="1" customFormat="1" ht="20.100000000000001" customHeight="1" x14ac:dyDescent="0.25">
      <c r="A79" s="390" t="s">
        <v>307</v>
      </c>
      <c r="B79" s="113">
        <v>0</v>
      </c>
      <c r="C79" s="113">
        <v>0</v>
      </c>
      <c r="D79" s="114">
        <f t="shared" si="40"/>
        <v>0</v>
      </c>
      <c r="E79" s="113">
        <v>0</v>
      </c>
      <c r="F79" s="113">
        <v>0</v>
      </c>
      <c r="G79" s="19">
        <f t="shared" si="41"/>
        <v>0</v>
      </c>
      <c r="H79" s="20">
        <f t="shared" si="42"/>
        <v>0</v>
      </c>
    </row>
    <row r="80" spans="1:8" s="1" customFormat="1" ht="20.100000000000001" customHeight="1" x14ac:dyDescent="0.25">
      <c r="A80" s="390" t="s">
        <v>308</v>
      </c>
      <c r="B80" s="113">
        <v>0</v>
      </c>
      <c r="C80" s="113">
        <v>0</v>
      </c>
      <c r="D80" s="114">
        <f t="shared" si="40"/>
        <v>0</v>
      </c>
      <c r="E80" s="113">
        <v>0</v>
      </c>
      <c r="F80" s="113">
        <v>0</v>
      </c>
      <c r="G80" s="19">
        <f t="shared" si="41"/>
        <v>0</v>
      </c>
      <c r="H80" s="20">
        <f t="shared" si="42"/>
        <v>0</v>
      </c>
    </row>
    <row r="81" spans="1:8" s="1" customFormat="1" ht="20.100000000000001" customHeight="1" x14ac:dyDescent="0.25">
      <c r="A81" s="390" t="s">
        <v>309</v>
      </c>
      <c r="B81" s="113">
        <v>0</v>
      </c>
      <c r="C81" s="113">
        <v>0</v>
      </c>
      <c r="D81" s="114">
        <f t="shared" si="40"/>
        <v>0</v>
      </c>
      <c r="E81" s="113">
        <v>0</v>
      </c>
      <c r="F81" s="113">
        <v>0</v>
      </c>
      <c r="G81" s="19">
        <f t="shared" si="41"/>
        <v>0</v>
      </c>
      <c r="H81" s="20">
        <f t="shared" si="42"/>
        <v>0</v>
      </c>
    </row>
    <row r="82" spans="1:8" s="1" customFormat="1" ht="20.100000000000001" customHeight="1" x14ac:dyDescent="0.25">
      <c r="A82" s="390" t="s">
        <v>310</v>
      </c>
      <c r="B82" s="113">
        <v>0</v>
      </c>
      <c r="C82" s="113">
        <v>0</v>
      </c>
      <c r="D82" s="114">
        <f t="shared" si="40"/>
        <v>0</v>
      </c>
      <c r="E82" s="113">
        <v>0</v>
      </c>
      <c r="F82" s="113">
        <v>0</v>
      </c>
      <c r="G82" s="19">
        <f t="shared" si="41"/>
        <v>0</v>
      </c>
      <c r="H82" s="20">
        <f t="shared" si="42"/>
        <v>0</v>
      </c>
    </row>
    <row r="83" spans="1:8" s="1" customFormat="1" ht="20.100000000000001" customHeight="1" x14ac:dyDescent="0.25">
      <c r="A83" s="390" t="s">
        <v>311</v>
      </c>
      <c r="B83" s="113">
        <v>0</v>
      </c>
      <c r="C83" s="113">
        <v>0</v>
      </c>
      <c r="D83" s="114">
        <f t="shared" si="40"/>
        <v>0</v>
      </c>
      <c r="E83" s="113">
        <v>0</v>
      </c>
      <c r="F83" s="113">
        <v>0</v>
      </c>
      <c r="G83" s="19">
        <f t="shared" si="41"/>
        <v>0</v>
      </c>
      <c r="H83" s="20">
        <f t="shared" si="42"/>
        <v>0</v>
      </c>
    </row>
    <row r="84" spans="1:8" s="1" customFormat="1" ht="20.100000000000001" customHeight="1" x14ac:dyDescent="0.25">
      <c r="A84" s="390" t="s">
        <v>312</v>
      </c>
      <c r="B84" s="113">
        <v>46384</v>
      </c>
      <c r="C84" s="113">
        <v>0</v>
      </c>
      <c r="D84" s="114">
        <f t="shared" si="40"/>
        <v>46384</v>
      </c>
      <c r="E84" s="113">
        <v>0</v>
      </c>
      <c r="F84" s="113">
        <v>0</v>
      </c>
      <c r="G84" s="19">
        <f t="shared" si="41"/>
        <v>0</v>
      </c>
      <c r="H84" s="20">
        <f t="shared" si="42"/>
        <v>46384</v>
      </c>
    </row>
    <row r="85" spans="1:8" s="1" customFormat="1" ht="20.100000000000001" customHeight="1" x14ac:dyDescent="0.25">
      <c r="A85" s="390" t="s">
        <v>313</v>
      </c>
      <c r="B85" s="113">
        <v>0</v>
      </c>
      <c r="C85" s="113">
        <v>0</v>
      </c>
      <c r="D85" s="114">
        <f t="shared" si="40"/>
        <v>0</v>
      </c>
      <c r="E85" s="113">
        <v>0</v>
      </c>
      <c r="F85" s="113">
        <v>0</v>
      </c>
      <c r="G85" s="19">
        <f t="shared" si="41"/>
        <v>0</v>
      </c>
      <c r="H85" s="20">
        <f t="shared" si="42"/>
        <v>0</v>
      </c>
    </row>
    <row r="86" spans="1:8" s="1" customFormat="1" ht="20.100000000000001" customHeight="1" x14ac:dyDescent="0.25">
      <c r="A86" s="390" t="s">
        <v>314</v>
      </c>
      <c r="B86" s="113">
        <v>97670</v>
      </c>
      <c r="C86" s="113">
        <v>0</v>
      </c>
      <c r="D86" s="114">
        <f t="shared" si="40"/>
        <v>97670</v>
      </c>
      <c r="E86" s="113">
        <v>0</v>
      </c>
      <c r="F86" s="113">
        <v>0</v>
      </c>
      <c r="G86" s="19">
        <f t="shared" si="41"/>
        <v>0</v>
      </c>
      <c r="H86" s="20">
        <f t="shared" si="42"/>
        <v>97670</v>
      </c>
    </row>
    <row r="87" spans="1:8" s="1" customFormat="1" ht="20.100000000000001" customHeight="1" x14ac:dyDescent="0.25">
      <c r="A87" s="390" t="s">
        <v>315</v>
      </c>
      <c r="B87" s="113">
        <v>11396</v>
      </c>
      <c r="C87" s="113">
        <v>0</v>
      </c>
      <c r="D87" s="114">
        <f t="shared" si="40"/>
        <v>11396</v>
      </c>
      <c r="E87" s="113">
        <v>2722</v>
      </c>
      <c r="F87" s="113">
        <v>0</v>
      </c>
      <c r="G87" s="19">
        <f t="shared" si="41"/>
        <v>2722</v>
      </c>
      <c r="H87" s="20">
        <f t="shared" si="42"/>
        <v>14118</v>
      </c>
    </row>
    <row r="88" spans="1:8" s="1" customFormat="1" ht="20.100000000000001" customHeight="1" x14ac:dyDescent="0.25">
      <c r="A88" s="390" t="s">
        <v>316</v>
      </c>
      <c r="B88" s="113">
        <v>0</v>
      </c>
      <c r="C88" s="113">
        <v>0</v>
      </c>
      <c r="D88" s="114">
        <f t="shared" si="40"/>
        <v>0</v>
      </c>
      <c r="E88" s="113">
        <v>0</v>
      </c>
      <c r="F88" s="113">
        <v>0</v>
      </c>
      <c r="G88" s="19">
        <f t="shared" si="41"/>
        <v>0</v>
      </c>
      <c r="H88" s="20">
        <f t="shared" si="42"/>
        <v>0</v>
      </c>
    </row>
    <row r="89" spans="1:8" s="1" customFormat="1" ht="20.100000000000001" customHeight="1" thickBot="1" x14ac:dyDescent="0.3">
      <c r="A89" s="16" t="s">
        <v>155</v>
      </c>
      <c r="B89" s="17">
        <f>SUM(B73:B88)</f>
        <v>525898</v>
      </c>
      <c r="C89" s="17">
        <f t="shared" ref="C89" si="43">SUM(C73:C88)</f>
        <v>82277</v>
      </c>
      <c r="D89" s="17">
        <f t="shared" ref="D89" si="44">SUM(D73:D88)</f>
        <v>608175</v>
      </c>
      <c r="E89" s="17">
        <f t="shared" ref="E89" si="45">SUM(E73:E88)</f>
        <v>1050084</v>
      </c>
      <c r="F89" s="17">
        <f t="shared" ref="F89" si="46">SUM(F73:F88)</f>
        <v>12406</v>
      </c>
      <c r="G89" s="17">
        <f t="shared" ref="G89" si="47">SUM(G73:G88)</f>
        <v>1062490</v>
      </c>
      <c r="H89" s="17">
        <f t="shared" ref="H89" si="48">SUM(H73:H88)</f>
        <v>1670665</v>
      </c>
    </row>
    <row r="90" spans="1:8" s="1" customFormat="1" ht="20.100000000000001" customHeight="1" thickBot="1" x14ac:dyDescent="0.3">
      <c r="A90" s="506"/>
      <c r="B90" s="507"/>
      <c r="C90" s="507"/>
      <c r="D90" s="507"/>
      <c r="E90" s="507"/>
      <c r="F90" s="507"/>
      <c r="G90" s="507"/>
      <c r="H90" s="507"/>
    </row>
    <row r="91" spans="1:8" s="1" customFormat="1" ht="20.100000000000001" customHeight="1" x14ac:dyDescent="0.25">
      <c r="A91" s="503" t="s">
        <v>320</v>
      </c>
      <c r="B91" s="504"/>
      <c r="C91" s="504"/>
      <c r="D91" s="504"/>
      <c r="E91" s="504"/>
      <c r="F91" s="504"/>
      <c r="G91" s="504"/>
      <c r="H91" s="505"/>
    </row>
    <row r="92" spans="1:8" s="1" customFormat="1" ht="20.100000000000001" customHeight="1" x14ac:dyDescent="0.25">
      <c r="A92" s="508" t="s">
        <v>297</v>
      </c>
      <c r="B92" s="510" t="s">
        <v>298</v>
      </c>
      <c r="C92" s="510"/>
      <c r="D92" s="510"/>
      <c r="E92" s="510" t="s">
        <v>299</v>
      </c>
      <c r="F92" s="510"/>
      <c r="G92" s="510"/>
      <c r="H92" s="502" t="s">
        <v>155</v>
      </c>
    </row>
    <row r="93" spans="1:8" s="1" customFormat="1" ht="20.100000000000001" customHeight="1" x14ac:dyDescent="0.25">
      <c r="A93" s="509"/>
      <c r="B93" s="389" t="s">
        <v>300</v>
      </c>
      <c r="C93" s="389" t="s">
        <v>301</v>
      </c>
      <c r="D93" s="389" t="s">
        <v>155</v>
      </c>
      <c r="E93" s="389" t="s">
        <v>300</v>
      </c>
      <c r="F93" s="389" t="s">
        <v>301</v>
      </c>
      <c r="G93" s="389" t="s">
        <v>155</v>
      </c>
      <c r="H93" s="502"/>
    </row>
    <row r="94" spans="1:8" s="1" customFormat="1" ht="20.100000000000001" customHeight="1" x14ac:dyDescent="0.25">
      <c r="A94" s="21" t="s">
        <v>147</v>
      </c>
      <c r="B94" s="13">
        <v>385266</v>
      </c>
      <c r="C94" s="13">
        <v>85568</v>
      </c>
      <c r="D94" s="14">
        <f>B94+C94</f>
        <v>470834</v>
      </c>
      <c r="E94" s="13">
        <v>31322</v>
      </c>
      <c r="F94" s="13">
        <v>12902</v>
      </c>
      <c r="G94" s="18">
        <f>E94+F94</f>
        <v>44224</v>
      </c>
      <c r="H94" s="20">
        <f>SUM(D94,G94)</f>
        <v>515058</v>
      </c>
    </row>
    <row r="95" spans="1:8" s="1" customFormat="1" ht="20.100000000000001" customHeight="1" x14ac:dyDescent="0.25">
      <c r="A95" s="390" t="s">
        <v>302</v>
      </c>
      <c r="B95" s="13">
        <v>0</v>
      </c>
      <c r="C95" s="13">
        <v>0</v>
      </c>
      <c r="D95" s="14">
        <f>B95+C95</f>
        <v>0</v>
      </c>
      <c r="E95" s="13">
        <v>0</v>
      </c>
      <c r="F95" s="13">
        <v>0</v>
      </c>
      <c r="G95" s="18">
        <f>E95+F95</f>
        <v>0</v>
      </c>
      <c r="H95" s="20">
        <f>SUM(D95,G95)</f>
        <v>0</v>
      </c>
    </row>
    <row r="96" spans="1:8" s="1" customFormat="1" ht="20.100000000000001" customHeight="1" x14ac:dyDescent="0.25">
      <c r="A96" s="390" t="s">
        <v>303</v>
      </c>
      <c r="B96" s="113">
        <v>0</v>
      </c>
      <c r="C96" s="113">
        <v>0</v>
      </c>
      <c r="D96" s="114">
        <f t="shared" ref="D96:D109" si="49">B96+C96</f>
        <v>0</v>
      </c>
      <c r="E96" s="113">
        <v>1035662</v>
      </c>
      <c r="F96" s="113">
        <v>0</v>
      </c>
      <c r="G96" s="19">
        <f t="shared" ref="G96:G109" si="50">E96+F96</f>
        <v>1035662</v>
      </c>
      <c r="H96" s="20">
        <f t="shared" ref="H96:H109" si="51">SUM(D96,G96)</f>
        <v>1035662</v>
      </c>
    </row>
    <row r="97" spans="1:8" s="1" customFormat="1" ht="20.100000000000001" customHeight="1" x14ac:dyDescent="0.25">
      <c r="A97" s="390" t="s">
        <v>304</v>
      </c>
      <c r="B97" s="113">
        <v>0</v>
      </c>
      <c r="C97" s="113">
        <v>0</v>
      </c>
      <c r="D97" s="114">
        <f t="shared" si="49"/>
        <v>0</v>
      </c>
      <c r="E97" s="113">
        <v>22272</v>
      </c>
      <c r="F97" s="113">
        <v>0</v>
      </c>
      <c r="G97" s="19">
        <f t="shared" si="50"/>
        <v>22272</v>
      </c>
      <c r="H97" s="20">
        <f t="shared" si="51"/>
        <v>22272</v>
      </c>
    </row>
    <row r="98" spans="1:8" s="1" customFormat="1" ht="20.100000000000001" customHeight="1" x14ac:dyDescent="0.25">
      <c r="A98" s="28" t="s">
        <v>305</v>
      </c>
      <c r="B98" s="113">
        <v>0</v>
      </c>
      <c r="C98" s="113">
        <v>0</v>
      </c>
      <c r="D98" s="114">
        <f t="shared" si="49"/>
        <v>0</v>
      </c>
      <c r="E98" s="113">
        <v>0</v>
      </c>
      <c r="F98" s="113">
        <v>0</v>
      </c>
      <c r="G98" s="19">
        <f t="shared" si="50"/>
        <v>0</v>
      </c>
      <c r="H98" s="20">
        <f t="shared" si="51"/>
        <v>0</v>
      </c>
    </row>
    <row r="99" spans="1:8" s="1" customFormat="1" ht="20.100000000000001" customHeight="1" x14ac:dyDescent="0.25">
      <c r="A99" s="390" t="s">
        <v>306</v>
      </c>
      <c r="B99" s="113">
        <v>0</v>
      </c>
      <c r="C99" s="113">
        <v>0</v>
      </c>
      <c r="D99" s="114">
        <f t="shared" si="49"/>
        <v>0</v>
      </c>
      <c r="E99" s="113">
        <v>0</v>
      </c>
      <c r="F99" s="113">
        <v>0</v>
      </c>
      <c r="G99" s="19">
        <f t="shared" si="50"/>
        <v>0</v>
      </c>
      <c r="H99" s="20">
        <f t="shared" si="51"/>
        <v>0</v>
      </c>
    </row>
    <row r="100" spans="1:8" s="1" customFormat="1" ht="20.100000000000001" customHeight="1" x14ac:dyDescent="0.25">
      <c r="A100" s="390" t="s">
        <v>307</v>
      </c>
      <c r="B100" s="113">
        <v>0</v>
      </c>
      <c r="C100" s="113">
        <v>0</v>
      </c>
      <c r="D100" s="114">
        <f t="shared" si="49"/>
        <v>0</v>
      </c>
      <c r="E100" s="113">
        <v>0</v>
      </c>
      <c r="F100" s="113">
        <v>0</v>
      </c>
      <c r="G100" s="19">
        <f t="shared" si="50"/>
        <v>0</v>
      </c>
      <c r="H100" s="20">
        <f t="shared" si="51"/>
        <v>0</v>
      </c>
    </row>
    <row r="101" spans="1:8" s="1" customFormat="1" ht="20.100000000000001" customHeight="1" x14ac:dyDescent="0.25">
      <c r="A101" s="390" t="s">
        <v>308</v>
      </c>
      <c r="B101" s="113">
        <v>0</v>
      </c>
      <c r="C101" s="113">
        <v>0</v>
      </c>
      <c r="D101" s="114">
        <f t="shared" si="49"/>
        <v>0</v>
      </c>
      <c r="E101" s="113">
        <v>0</v>
      </c>
      <c r="F101" s="113">
        <v>0</v>
      </c>
      <c r="G101" s="19">
        <f t="shared" si="50"/>
        <v>0</v>
      </c>
      <c r="H101" s="20">
        <f t="shared" si="51"/>
        <v>0</v>
      </c>
    </row>
    <row r="102" spans="1:8" s="1" customFormat="1" ht="20.100000000000001" customHeight="1" x14ac:dyDescent="0.25">
      <c r="A102" s="390" t="s">
        <v>309</v>
      </c>
      <c r="B102" s="113">
        <v>0</v>
      </c>
      <c r="C102" s="113">
        <v>0</v>
      </c>
      <c r="D102" s="114">
        <f t="shared" si="49"/>
        <v>0</v>
      </c>
      <c r="E102" s="113">
        <v>0</v>
      </c>
      <c r="F102" s="113">
        <v>0</v>
      </c>
      <c r="G102" s="19">
        <f t="shared" si="50"/>
        <v>0</v>
      </c>
      <c r="H102" s="20">
        <f t="shared" si="51"/>
        <v>0</v>
      </c>
    </row>
    <row r="103" spans="1:8" s="1" customFormat="1" ht="20.100000000000001" customHeight="1" x14ac:dyDescent="0.25">
      <c r="A103" s="390" t="s">
        <v>310</v>
      </c>
      <c r="B103" s="113">
        <v>0</v>
      </c>
      <c r="C103" s="113">
        <v>0</v>
      </c>
      <c r="D103" s="114">
        <f t="shared" si="49"/>
        <v>0</v>
      </c>
      <c r="E103" s="113">
        <v>0</v>
      </c>
      <c r="F103" s="113">
        <v>0</v>
      </c>
      <c r="G103" s="19">
        <f t="shared" si="50"/>
        <v>0</v>
      </c>
      <c r="H103" s="20">
        <f t="shared" si="51"/>
        <v>0</v>
      </c>
    </row>
    <row r="104" spans="1:8" s="1" customFormat="1" ht="20.100000000000001" customHeight="1" x14ac:dyDescent="0.25">
      <c r="A104" s="390" t="s">
        <v>311</v>
      </c>
      <c r="B104" s="113">
        <v>0</v>
      </c>
      <c r="C104" s="113">
        <v>0</v>
      </c>
      <c r="D104" s="114">
        <f t="shared" si="49"/>
        <v>0</v>
      </c>
      <c r="E104" s="113">
        <v>0</v>
      </c>
      <c r="F104" s="113">
        <v>0</v>
      </c>
      <c r="G104" s="19">
        <f t="shared" si="50"/>
        <v>0</v>
      </c>
      <c r="H104" s="20">
        <f t="shared" si="51"/>
        <v>0</v>
      </c>
    </row>
    <row r="105" spans="1:8" s="1" customFormat="1" ht="20.100000000000001" customHeight="1" x14ac:dyDescent="0.25">
      <c r="A105" s="390" t="s">
        <v>312</v>
      </c>
      <c r="B105" s="113">
        <v>48240</v>
      </c>
      <c r="C105" s="113">
        <v>0</v>
      </c>
      <c r="D105" s="114">
        <f t="shared" si="49"/>
        <v>48240</v>
      </c>
      <c r="E105" s="113">
        <v>0</v>
      </c>
      <c r="F105" s="113">
        <v>0</v>
      </c>
      <c r="G105" s="19">
        <f t="shared" si="50"/>
        <v>0</v>
      </c>
      <c r="H105" s="20">
        <f t="shared" si="51"/>
        <v>48240</v>
      </c>
    </row>
    <row r="106" spans="1:8" s="1" customFormat="1" ht="20.100000000000001" customHeight="1" x14ac:dyDescent="0.25">
      <c r="A106" s="390" t="s">
        <v>313</v>
      </c>
      <c r="B106" s="113">
        <v>0</v>
      </c>
      <c r="C106" s="113">
        <v>0</v>
      </c>
      <c r="D106" s="114">
        <f t="shared" si="49"/>
        <v>0</v>
      </c>
      <c r="E106" s="113">
        <v>0</v>
      </c>
      <c r="F106" s="113">
        <v>0</v>
      </c>
      <c r="G106" s="19">
        <f t="shared" si="50"/>
        <v>0</v>
      </c>
      <c r="H106" s="20">
        <f t="shared" si="51"/>
        <v>0</v>
      </c>
    </row>
    <row r="107" spans="1:8" s="1" customFormat="1" ht="20.100000000000001" customHeight="1" x14ac:dyDescent="0.25">
      <c r="A107" s="390" t="s">
        <v>314</v>
      </c>
      <c r="B107" s="113">
        <v>101576</v>
      </c>
      <c r="C107" s="113">
        <v>0</v>
      </c>
      <c r="D107" s="114">
        <f t="shared" si="49"/>
        <v>101576</v>
      </c>
      <c r="E107" s="113">
        <v>0</v>
      </c>
      <c r="F107" s="113">
        <v>0</v>
      </c>
      <c r="G107" s="19">
        <f t="shared" si="50"/>
        <v>0</v>
      </c>
      <c r="H107" s="20">
        <f t="shared" si="51"/>
        <v>101576</v>
      </c>
    </row>
    <row r="108" spans="1:8" s="1" customFormat="1" ht="20.100000000000001" customHeight="1" x14ac:dyDescent="0.25">
      <c r="A108" s="390" t="s">
        <v>315</v>
      </c>
      <c r="B108" s="113">
        <v>11852</v>
      </c>
      <c r="C108" s="113">
        <v>0</v>
      </c>
      <c r="D108" s="114">
        <f t="shared" si="49"/>
        <v>11852</v>
      </c>
      <c r="E108" s="113">
        <v>2831</v>
      </c>
      <c r="F108" s="113">
        <v>0</v>
      </c>
      <c r="G108" s="19">
        <f t="shared" si="50"/>
        <v>2831</v>
      </c>
      <c r="H108" s="20">
        <f t="shared" si="51"/>
        <v>14683</v>
      </c>
    </row>
    <row r="109" spans="1:8" s="1" customFormat="1" ht="20.100000000000001" customHeight="1" x14ac:dyDescent="0.25">
      <c r="A109" s="390" t="s">
        <v>316</v>
      </c>
      <c r="B109" s="113">
        <v>0</v>
      </c>
      <c r="C109" s="113">
        <v>0</v>
      </c>
      <c r="D109" s="114">
        <f t="shared" si="49"/>
        <v>0</v>
      </c>
      <c r="E109" s="113">
        <v>0</v>
      </c>
      <c r="F109" s="113">
        <v>0</v>
      </c>
      <c r="G109" s="19">
        <f t="shared" si="50"/>
        <v>0</v>
      </c>
      <c r="H109" s="20">
        <f t="shared" si="51"/>
        <v>0</v>
      </c>
    </row>
    <row r="110" spans="1:8" s="1" customFormat="1" ht="20.100000000000001" customHeight="1" thickBot="1" x14ac:dyDescent="0.3">
      <c r="A110" s="16" t="s">
        <v>155</v>
      </c>
      <c r="B110" s="17">
        <f>SUM(B94:B109)</f>
        <v>546934</v>
      </c>
      <c r="C110" s="17">
        <f t="shared" ref="C110" si="52">SUM(C94:C109)</f>
        <v>85568</v>
      </c>
      <c r="D110" s="17">
        <f t="shared" ref="D110" si="53">SUM(D94:D109)</f>
        <v>632502</v>
      </c>
      <c r="E110" s="17">
        <f t="shared" ref="E110" si="54">SUM(E94:E109)</f>
        <v>1092087</v>
      </c>
      <c r="F110" s="17">
        <f t="shared" ref="F110" si="55">SUM(F94:F109)</f>
        <v>12902</v>
      </c>
      <c r="G110" s="17">
        <f t="shared" ref="G110" si="56">SUM(G94:G109)</f>
        <v>1104989</v>
      </c>
      <c r="H110" s="17">
        <f t="shared" ref="H110" si="57">SUM(H94:H109)</f>
        <v>1737491</v>
      </c>
    </row>
    <row r="111" spans="1:8" ht="20.100000000000001" customHeight="1" x14ac:dyDescent="0.25"/>
    <row r="112" spans="1:8" ht="20.100000000000001" customHeight="1" thickBot="1" x14ac:dyDescent="0.3"/>
    <row r="113" spans="1:14" s="1" customFormat="1" ht="20.100000000000001" customHeight="1" thickBot="1" x14ac:dyDescent="0.3">
      <c r="A113" s="559" t="s">
        <v>297</v>
      </c>
      <c r="B113" s="560"/>
      <c r="C113" s="560"/>
      <c r="D113" s="561"/>
      <c r="E113" s="22" t="s">
        <v>321</v>
      </c>
      <c r="F113" s="565" t="s">
        <v>322</v>
      </c>
      <c r="G113" s="566"/>
      <c r="H113" s="567"/>
    </row>
    <row r="114" spans="1:14" s="1" customFormat="1" ht="20.100000000000001" customHeight="1" x14ac:dyDescent="0.25">
      <c r="A114" s="562" t="s">
        <v>147</v>
      </c>
      <c r="B114" s="563"/>
      <c r="C114" s="563"/>
      <c r="D114" s="564"/>
      <c r="E114" s="26" t="s">
        <v>323</v>
      </c>
      <c r="F114" s="552" t="s">
        <v>324</v>
      </c>
      <c r="G114" s="553"/>
      <c r="H114" s="554"/>
    </row>
    <row r="115" spans="1:14" s="1" customFormat="1" ht="20.100000000000001" customHeight="1" x14ac:dyDescent="0.25">
      <c r="A115" s="556" t="s">
        <v>302</v>
      </c>
      <c r="B115" s="557"/>
      <c r="C115" s="557"/>
      <c r="D115" s="558"/>
      <c r="E115" s="26" t="s">
        <v>325</v>
      </c>
      <c r="F115" s="516" t="s">
        <v>326</v>
      </c>
      <c r="G115" s="517"/>
      <c r="H115" s="518"/>
      <c r="K115" s="555"/>
      <c r="L115" s="555"/>
      <c r="M115" s="555"/>
      <c r="N115" s="555"/>
    </row>
    <row r="116" spans="1:14" s="1" customFormat="1" ht="20.100000000000001" customHeight="1" x14ac:dyDescent="0.25">
      <c r="A116" s="534" t="s">
        <v>303</v>
      </c>
      <c r="B116" s="535"/>
      <c r="C116" s="535"/>
      <c r="D116" s="536"/>
      <c r="E116" s="26" t="s">
        <v>327</v>
      </c>
      <c r="F116" s="513" t="s">
        <v>328</v>
      </c>
      <c r="G116" s="514"/>
      <c r="H116" s="515"/>
      <c r="K116" s="391"/>
      <c r="L116" s="391"/>
      <c r="M116" s="391"/>
      <c r="N116" s="391"/>
    </row>
    <row r="117" spans="1:14" s="1" customFormat="1" ht="20.100000000000001" customHeight="1" x14ac:dyDescent="0.25">
      <c r="A117" s="534" t="s">
        <v>304</v>
      </c>
      <c r="B117" s="535"/>
      <c r="C117" s="535"/>
      <c r="D117" s="536"/>
      <c r="E117" s="26" t="s">
        <v>329</v>
      </c>
      <c r="F117" s="513" t="s">
        <v>330</v>
      </c>
      <c r="G117" s="514"/>
      <c r="H117" s="515"/>
      <c r="K117" s="391"/>
      <c r="L117" s="391"/>
      <c r="M117" s="391"/>
      <c r="N117" s="391"/>
    </row>
    <row r="118" spans="1:14" s="1" customFormat="1" ht="20.100000000000001" customHeight="1" x14ac:dyDescent="0.25">
      <c r="A118" s="546" t="s">
        <v>305</v>
      </c>
      <c r="B118" s="547"/>
      <c r="C118" s="547"/>
      <c r="D118" s="548"/>
      <c r="E118" s="26" t="s">
        <v>331</v>
      </c>
      <c r="F118" s="549" t="s">
        <v>332</v>
      </c>
      <c r="G118" s="550"/>
      <c r="H118" s="551"/>
      <c r="K118" s="391"/>
      <c r="L118" s="391"/>
      <c r="M118" s="391"/>
      <c r="N118" s="391"/>
    </row>
    <row r="119" spans="1:14" s="1" customFormat="1" ht="20.100000000000001" customHeight="1" x14ac:dyDescent="0.25">
      <c r="A119" s="534" t="s">
        <v>306</v>
      </c>
      <c r="B119" s="535"/>
      <c r="C119" s="535"/>
      <c r="D119" s="536"/>
      <c r="E119" s="26" t="s">
        <v>333</v>
      </c>
      <c r="F119" s="513" t="s">
        <v>334</v>
      </c>
      <c r="G119" s="514"/>
      <c r="H119" s="515"/>
      <c r="K119" s="391"/>
      <c r="L119" s="391"/>
      <c r="M119" s="391"/>
      <c r="N119" s="391"/>
    </row>
    <row r="120" spans="1:14" s="1" customFormat="1" ht="20.100000000000001" customHeight="1" x14ac:dyDescent="0.25">
      <c r="A120" s="534" t="s">
        <v>307</v>
      </c>
      <c r="B120" s="535"/>
      <c r="C120" s="535"/>
      <c r="D120" s="536"/>
      <c r="E120" s="26" t="s">
        <v>335</v>
      </c>
      <c r="F120" s="513" t="s">
        <v>336</v>
      </c>
      <c r="G120" s="514"/>
      <c r="H120" s="515"/>
      <c r="K120" s="391"/>
      <c r="L120" s="391"/>
      <c r="M120" s="391"/>
      <c r="N120" s="391"/>
    </row>
    <row r="121" spans="1:14" s="1" customFormat="1" ht="20.100000000000001" customHeight="1" x14ac:dyDescent="0.25">
      <c r="A121" s="534" t="s">
        <v>308</v>
      </c>
      <c r="B121" s="535"/>
      <c r="C121" s="535"/>
      <c r="D121" s="536"/>
      <c r="E121" s="26" t="s">
        <v>337</v>
      </c>
      <c r="F121" s="513" t="s">
        <v>338</v>
      </c>
      <c r="G121" s="514"/>
      <c r="H121" s="515"/>
      <c r="K121" s="391"/>
      <c r="L121" s="391"/>
      <c r="M121" s="391"/>
      <c r="N121" s="391"/>
    </row>
    <row r="122" spans="1:14" s="1" customFormat="1" ht="20.100000000000001" customHeight="1" x14ac:dyDescent="0.25">
      <c r="A122" s="534" t="s">
        <v>309</v>
      </c>
      <c r="B122" s="535"/>
      <c r="C122" s="535"/>
      <c r="D122" s="536"/>
      <c r="E122" s="26" t="s">
        <v>339</v>
      </c>
      <c r="F122" s="513" t="s">
        <v>340</v>
      </c>
      <c r="G122" s="514"/>
      <c r="H122" s="515"/>
      <c r="K122" s="391"/>
      <c r="L122" s="391"/>
      <c r="M122" s="391"/>
      <c r="N122" s="391"/>
    </row>
    <row r="123" spans="1:14" s="1" customFormat="1" ht="20.100000000000001" customHeight="1" x14ac:dyDescent="0.25">
      <c r="A123" s="534" t="s">
        <v>341</v>
      </c>
      <c r="B123" s="535"/>
      <c r="C123" s="535"/>
      <c r="D123" s="536"/>
      <c r="E123" s="27"/>
      <c r="F123" s="519"/>
      <c r="G123" s="520"/>
      <c r="H123" s="521"/>
      <c r="K123" s="391"/>
      <c r="L123" s="391"/>
      <c r="M123" s="391"/>
      <c r="N123" s="391"/>
    </row>
    <row r="124" spans="1:14" s="1" customFormat="1" ht="20.100000000000001" customHeight="1" x14ac:dyDescent="0.25">
      <c r="A124" s="540" t="s">
        <v>342</v>
      </c>
      <c r="B124" s="541"/>
      <c r="C124" s="541"/>
      <c r="D124" s="542"/>
      <c r="E124" s="26" t="s">
        <v>343</v>
      </c>
      <c r="F124" s="513" t="s">
        <v>344</v>
      </c>
      <c r="G124" s="514"/>
      <c r="H124" s="515"/>
      <c r="K124" s="23"/>
      <c r="L124" s="23"/>
      <c r="M124" s="23"/>
      <c r="N124" s="23"/>
    </row>
    <row r="125" spans="1:14" s="1" customFormat="1" ht="20.100000000000001" customHeight="1" x14ac:dyDescent="0.25">
      <c r="A125" s="540" t="s">
        <v>345</v>
      </c>
      <c r="B125" s="541"/>
      <c r="C125" s="541"/>
      <c r="D125" s="542"/>
      <c r="E125" s="26" t="s">
        <v>346</v>
      </c>
      <c r="F125" s="513" t="s">
        <v>347</v>
      </c>
      <c r="G125" s="514"/>
      <c r="H125" s="515"/>
      <c r="K125" s="23"/>
      <c r="L125" s="23"/>
      <c r="M125" s="23"/>
      <c r="N125" s="23"/>
    </row>
    <row r="126" spans="1:14" s="1" customFormat="1" ht="20.100000000000001" customHeight="1" x14ac:dyDescent="0.25">
      <c r="A126" s="540" t="s">
        <v>348</v>
      </c>
      <c r="B126" s="541"/>
      <c r="C126" s="541"/>
      <c r="D126" s="542"/>
      <c r="E126" s="26" t="s">
        <v>349</v>
      </c>
      <c r="F126" s="513" t="s">
        <v>350</v>
      </c>
      <c r="G126" s="514"/>
      <c r="H126" s="515"/>
      <c r="K126" s="23"/>
      <c r="L126" s="23"/>
      <c r="M126" s="23"/>
      <c r="N126" s="23"/>
    </row>
    <row r="127" spans="1:14" s="1" customFormat="1" ht="20.100000000000001" customHeight="1" x14ac:dyDescent="0.25">
      <c r="A127" s="534" t="s">
        <v>311</v>
      </c>
      <c r="B127" s="535"/>
      <c r="C127" s="535"/>
      <c r="D127" s="536"/>
      <c r="E127" s="27"/>
      <c r="F127" s="522"/>
      <c r="G127" s="523"/>
      <c r="H127" s="524"/>
      <c r="K127" s="391"/>
      <c r="L127" s="391"/>
      <c r="M127" s="391"/>
      <c r="N127" s="391"/>
    </row>
    <row r="128" spans="1:14" s="1" customFormat="1" ht="20.100000000000001" customHeight="1" x14ac:dyDescent="0.25">
      <c r="A128" s="540" t="s">
        <v>351</v>
      </c>
      <c r="B128" s="541"/>
      <c r="C128" s="541"/>
      <c r="D128" s="542"/>
      <c r="E128" s="26" t="s">
        <v>352</v>
      </c>
      <c r="F128" s="513" t="s">
        <v>353</v>
      </c>
      <c r="G128" s="514"/>
      <c r="H128" s="515"/>
      <c r="K128" s="23"/>
      <c r="L128" s="23"/>
      <c r="M128" s="23"/>
      <c r="N128" s="23"/>
    </row>
    <row r="129" spans="1:14" s="1" customFormat="1" ht="20.100000000000001" customHeight="1" x14ac:dyDescent="0.25">
      <c r="A129" s="540" t="s">
        <v>354</v>
      </c>
      <c r="B129" s="541"/>
      <c r="C129" s="541"/>
      <c r="D129" s="542"/>
      <c r="E129" s="26" t="s">
        <v>355</v>
      </c>
      <c r="F129" s="513" t="s">
        <v>356</v>
      </c>
      <c r="G129" s="514"/>
      <c r="H129" s="515"/>
      <c r="K129" s="23"/>
      <c r="L129" s="23"/>
      <c r="M129" s="23"/>
      <c r="N129" s="23"/>
    </row>
    <row r="130" spans="1:14" s="1" customFormat="1" ht="20.100000000000001" customHeight="1" x14ac:dyDescent="0.25">
      <c r="A130" s="540" t="s">
        <v>357</v>
      </c>
      <c r="B130" s="541"/>
      <c r="C130" s="541"/>
      <c r="D130" s="542"/>
      <c r="E130" s="26" t="s">
        <v>358</v>
      </c>
      <c r="F130" s="513" t="s">
        <v>359</v>
      </c>
      <c r="G130" s="514"/>
      <c r="H130" s="515"/>
      <c r="K130" s="23"/>
      <c r="L130" s="23"/>
      <c r="M130" s="23"/>
      <c r="N130" s="23"/>
    </row>
    <row r="131" spans="1:14" s="1" customFormat="1" ht="20.100000000000001" customHeight="1" x14ac:dyDescent="0.25">
      <c r="A131" s="537" t="s">
        <v>360</v>
      </c>
      <c r="B131" s="538"/>
      <c r="C131" s="538"/>
      <c r="D131" s="539"/>
      <c r="E131" s="26" t="s">
        <v>361</v>
      </c>
      <c r="F131" s="528" t="s">
        <v>362</v>
      </c>
      <c r="G131" s="529"/>
      <c r="H131" s="530"/>
      <c r="K131" s="24"/>
      <c r="L131" s="24"/>
      <c r="M131" s="24"/>
      <c r="N131" s="24"/>
    </row>
    <row r="132" spans="1:14" s="1" customFormat="1" ht="20.100000000000001" customHeight="1" x14ac:dyDescent="0.25">
      <c r="A132" s="534" t="s">
        <v>312</v>
      </c>
      <c r="B132" s="535"/>
      <c r="C132" s="535"/>
      <c r="D132" s="536"/>
      <c r="E132" s="26" t="s">
        <v>323</v>
      </c>
      <c r="F132" s="513" t="s">
        <v>363</v>
      </c>
      <c r="G132" s="514"/>
      <c r="H132" s="515"/>
      <c r="K132" s="391"/>
      <c r="L132" s="391"/>
      <c r="M132" s="391"/>
      <c r="N132" s="391"/>
    </row>
    <row r="133" spans="1:14" s="1" customFormat="1" ht="20.100000000000001" customHeight="1" x14ac:dyDescent="0.25">
      <c r="A133" s="534" t="s">
        <v>313</v>
      </c>
      <c r="B133" s="535"/>
      <c r="C133" s="535"/>
      <c r="D133" s="536"/>
      <c r="E133" s="26" t="s">
        <v>323</v>
      </c>
      <c r="F133" s="513" t="s">
        <v>364</v>
      </c>
      <c r="G133" s="514"/>
      <c r="H133" s="515"/>
      <c r="K133" s="391"/>
      <c r="L133" s="391"/>
      <c r="M133" s="391"/>
      <c r="N133" s="391"/>
    </row>
    <row r="134" spans="1:14" s="1" customFormat="1" ht="20.100000000000001" customHeight="1" x14ac:dyDescent="0.25">
      <c r="A134" s="534" t="s">
        <v>314</v>
      </c>
      <c r="B134" s="535"/>
      <c r="C134" s="535"/>
      <c r="D134" s="536"/>
      <c r="E134" s="26" t="s">
        <v>365</v>
      </c>
      <c r="F134" s="513" t="s">
        <v>366</v>
      </c>
      <c r="G134" s="514"/>
      <c r="H134" s="515"/>
      <c r="K134" s="391"/>
      <c r="L134" s="391"/>
      <c r="M134" s="391"/>
      <c r="N134" s="391"/>
    </row>
    <row r="135" spans="1:14" s="1" customFormat="1" ht="20.100000000000001" customHeight="1" thickBot="1" x14ac:dyDescent="0.3">
      <c r="A135" s="531" t="s">
        <v>316</v>
      </c>
      <c r="B135" s="532"/>
      <c r="C135" s="532"/>
      <c r="D135" s="533"/>
      <c r="E135" s="25" t="s">
        <v>323</v>
      </c>
      <c r="F135" s="525" t="s">
        <v>367</v>
      </c>
      <c r="G135" s="526"/>
      <c r="H135" s="527"/>
      <c r="K135" s="391"/>
      <c r="L135" s="391"/>
      <c r="M135" s="391"/>
      <c r="N135" s="391"/>
    </row>
  </sheetData>
  <mergeCells count="7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 ref="A29:A30"/>
    <mergeCell ref="B29:D29"/>
    <mergeCell ref="E29:G29"/>
    <mergeCell ref="H8:H9"/>
    <mergeCell ref="H29:H30"/>
    <mergeCell ref="A28:H28"/>
    <mergeCell ref="A27:H27"/>
    <mergeCell ref="B8:D8"/>
    <mergeCell ref="E8:G8"/>
    <mergeCell ref="A123:D123"/>
    <mergeCell ref="A122:D122"/>
    <mergeCell ref="A121:D121"/>
    <mergeCell ref="A120:D120"/>
    <mergeCell ref="A119:D119"/>
    <mergeCell ref="A126:D126"/>
    <mergeCell ref="A125:D125"/>
    <mergeCell ref="A124:D124"/>
    <mergeCell ref="A127:D127"/>
    <mergeCell ref="A130:D130"/>
    <mergeCell ref="A129:D129"/>
    <mergeCell ref="A128:D128"/>
    <mergeCell ref="A135:D135"/>
    <mergeCell ref="A134:D134"/>
    <mergeCell ref="A133:D133"/>
    <mergeCell ref="A132:D132"/>
    <mergeCell ref="A131:D131"/>
    <mergeCell ref="F135:H135"/>
    <mergeCell ref="F134:H134"/>
    <mergeCell ref="F133:H133"/>
    <mergeCell ref="F132:H132"/>
    <mergeCell ref="F131:H131"/>
    <mergeCell ref="F130:H130"/>
    <mergeCell ref="F129:H129"/>
    <mergeCell ref="F128:H128"/>
    <mergeCell ref="F127:H127"/>
    <mergeCell ref="F126:H126"/>
    <mergeCell ref="F125:H125"/>
    <mergeCell ref="F124:H124"/>
    <mergeCell ref="F123:H123"/>
    <mergeCell ref="F122:H122"/>
    <mergeCell ref="F121:H121"/>
    <mergeCell ref="F120:H120"/>
    <mergeCell ref="F119:H119"/>
    <mergeCell ref="F117:H117"/>
    <mergeCell ref="F116:H116"/>
    <mergeCell ref="F115:H115"/>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s>
  <phoneticPr fontId="10" type="noConversion"/>
  <hyperlinks>
    <hyperlink ref="F122" r:id="rId1" display="23-7.4:2 C 1" xr:uid="{00000000-0004-0000-0700-000000000000}"/>
    <hyperlink ref="F125" r:id="rId2" display="23-7.4:2 E" xr:uid="{00000000-0004-0000-0700-000001000000}"/>
    <hyperlink ref="F128" r:id="rId3" display="23-7.4:2 C 3" xr:uid="{00000000-0004-0000-0700-000002000000}"/>
    <hyperlink ref="F129" r:id="rId4" display="23-7.4:2 A " xr:uid="{00000000-0004-0000-0700-000003000000}"/>
    <hyperlink ref="F115" r:id="rId5" display="23-7.4:2 C 2" xr:uid="{00000000-0004-0000-0700-000004000000}"/>
    <hyperlink ref="F121" r:id="rId6" display="23-7.4:2 F" xr:uid="{00000000-0004-0000-0700-000005000000}"/>
    <hyperlink ref="F130" r:id="rId7" display="23-7.4 B " xr:uid="{00000000-0004-0000-0700-000006000000}"/>
    <hyperlink ref="F116" r:id="rId8" display="23-7.4 E " xr:uid="{00000000-0004-0000-0700-000007000000}"/>
    <hyperlink ref="F117" r:id="rId9" display="23-7.4:2 G" xr:uid="{00000000-0004-0000-0700-000008000000}"/>
    <hyperlink ref="F124" r:id="rId10" display="23-7.4:2 D" xr:uid="{00000000-0004-0000-0700-000009000000}"/>
    <hyperlink ref="F131" r:id="rId11" xr:uid="{00000000-0004-0000-0700-00000A000000}"/>
    <hyperlink ref="F119" r:id="rId12" xr:uid="{00000000-0004-0000-0700-00000B000000}"/>
    <hyperlink ref="F120" r:id="rId13" display="23-7.4:2 G" xr:uid="{00000000-0004-0000-0700-00000C000000}"/>
    <hyperlink ref="F132" r:id="rId14" xr:uid="{00000000-0004-0000-0700-00000D000000}"/>
    <hyperlink ref="F134" r:id="rId15" xr:uid="{00000000-0004-0000-0700-00000E000000}"/>
    <hyperlink ref="F133" r:id="rId16" xr:uid="{00000000-0004-0000-0700-00000F000000}"/>
    <hyperlink ref="F135" r:id="rId17" xr:uid="{00000000-0004-0000-0700-000010000000}"/>
    <hyperlink ref="F114" r:id="rId18" display="23-7.4:2 C 2" xr:uid="{00000000-0004-0000-0700-000011000000}"/>
    <hyperlink ref="F114:H114" r:id="rId19" display="Code of Virginia § 23-31" xr:uid="{00000000-0004-0000-0700-000012000000}"/>
    <hyperlink ref="F118" r:id="rId20" display="23-7.4:2 G" xr:uid="{00000000-0004-0000-0700-000013000000}"/>
    <hyperlink ref="F118:H118" r:id="rId21" display="Code of Virginia § 23-7.4:2 G" xr:uid="{00000000-0004-0000-0700-000014000000}"/>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1"/>
  <sheetViews>
    <sheetView workbookViewId="0">
      <selection sqref="A1:B51"/>
    </sheetView>
  </sheetViews>
  <sheetFormatPr defaultColWidth="9.109375" defaultRowHeight="13.2" x14ac:dyDescent="0.25"/>
  <cols>
    <col min="1" max="16384" width="9.109375" style="8"/>
  </cols>
  <sheetData>
    <row r="1" spans="1:2" x14ac:dyDescent="0.25">
      <c r="A1" s="8" t="s">
        <v>368</v>
      </c>
      <c r="B1" s="8" t="s">
        <v>369</v>
      </c>
    </row>
    <row r="2" spans="1:2" x14ac:dyDescent="0.25">
      <c r="A2" s="8">
        <v>1</v>
      </c>
      <c r="B2" s="8" t="s">
        <v>370</v>
      </c>
    </row>
    <row r="3" spans="1:2" x14ac:dyDescent="0.25">
      <c r="A3" s="8">
        <v>2</v>
      </c>
      <c r="B3" s="8" t="s">
        <v>371</v>
      </c>
    </row>
    <row r="4" spans="1:2" x14ac:dyDescent="0.25">
      <c r="A4" s="8">
        <v>3</v>
      </c>
    </row>
    <row r="5" spans="1:2" x14ac:dyDescent="0.25">
      <c r="A5" s="8">
        <v>4</v>
      </c>
    </row>
    <row r="6" spans="1:2" x14ac:dyDescent="0.25">
      <c r="A6" s="8">
        <v>5</v>
      </c>
    </row>
    <row r="7" spans="1:2" x14ac:dyDescent="0.25">
      <c r="A7" s="8">
        <v>6</v>
      </c>
    </row>
    <row r="8" spans="1:2" x14ac:dyDescent="0.25">
      <c r="A8" s="8">
        <v>7</v>
      </c>
    </row>
    <row r="9" spans="1:2" x14ac:dyDescent="0.25">
      <c r="A9" s="8">
        <v>8</v>
      </c>
    </row>
    <row r="10" spans="1:2" x14ac:dyDescent="0.25">
      <c r="A10" s="8">
        <v>9</v>
      </c>
    </row>
    <row r="11" spans="1:2" x14ac:dyDescent="0.25">
      <c r="A11" s="8">
        <v>10</v>
      </c>
    </row>
    <row r="12" spans="1:2" x14ac:dyDescent="0.25">
      <c r="A12" s="8">
        <v>11</v>
      </c>
    </row>
    <row r="13" spans="1:2" x14ac:dyDescent="0.25">
      <c r="A13" s="8">
        <v>12</v>
      </c>
    </row>
    <row r="14" spans="1:2" x14ac:dyDescent="0.25">
      <c r="A14" s="8">
        <v>13</v>
      </c>
    </row>
    <row r="15" spans="1:2" x14ac:dyDescent="0.25">
      <c r="A15" s="8">
        <v>14</v>
      </c>
    </row>
    <row r="16" spans="1:2" x14ac:dyDescent="0.25">
      <c r="A16" s="8">
        <v>15</v>
      </c>
    </row>
    <row r="17" spans="1:1" x14ac:dyDescent="0.25">
      <c r="A17" s="8">
        <v>16</v>
      </c>
    </row>
    <row r="18" spans="1:1" x14ac:dyDescent="0.25">
      <c r="A18" s="8">
        <v>17</v>
      </c>
    </row>
    <row r="19" spans="1:1" x14ac:dyDescent="0.25">
      <c r="A19" s="8">
        <v>18</v>
      </c>
    </row>
    <row r="20" spans="1:1" x14ac:dyDescent="0.25">
      <c r="A20" s="8">
        <v>19</v>
      </c>
    </row>
    <row r="21" spans="1:1" x14ac:dyDescent="0.25">
      <c r="A21" s="8">
        <v>20</v>
      </c>
    </row>
    <row r="22" spans="1:1" x14ac:dyDescent="0.25">
      <c r="A22" s="8">
        <v>21</v>
      </c>
    </row>
    <row r="23" spans="1:1" x14ac:dyDescent="0.25">
      <c r="A23" s="8">
        <v>22</v>
      </c>
    </row>
    <row r="24" spans="1:1" x14ac:dyDescent="0.25">
      <c r="A24" s="8">
        <v>23</v>
      </c>
    </row>
    <row r="25" spans="1:1" x14ac:dyDescent="0.25">
      <c r="A25" s="8">
        <v>24</v>
      </c>
    </row>
    <row r="26" spans="1:1" x14ac:dyDescent="0.25">
      <c r="A26" s="8">
        <v>25</v>
      </c>
    </row>
    <row r="27" spans="1:1" x14ac:dyDescent="0.25">
      <c r="A27" s="8">
        <v>26</v>
      </c>
    </row>
    <row r="28" spans="1:1" x14ac:dyDescent="0.25">
      <c r="A28" s="8">
        <v>27</v>
      </c>
    </row>
    <row r="29" spans="1:1" x14ac:dyDescent="0.25">
      <c r="A29" s="8">
        <v>28</v>
      </c>
    </row>
    <row r="30" spans="1:1" x14ac:dyDescent="0.25">
      <c r="A30" s="8">
        <v>29</v>
      </c>
    </row>
    <row r="31" spans="1:1" x14ac:dyDescent="0.25">
      <c r="A31" s="8">
        <v>30</v>
      </c>
    </row>
    <row r="32" spans="1:1" x14ac:dyDescent="0.25">
      <c r="A32" s="8">
        <v>31</v>
      </c>
    </row>
    <row r="33" spans="1:1" x14ac:dyDescent="0.25">
      <c r="A33" s="8">
        <v>32</v>
      </c>
    </row>
    <row r="34" spans="1:1" x14ac:dyDescent="0.25">
      <c r="A34" s="8">
        <v>33</v>
      </c>
    </row>
    <row r="35" spans="1:1" x14ac:dyDescent="0.25">
      <c r="A35" s="8">
        <v>34</v>
      </c>
    </row>
    <row r="36" spans="1:1" x14ac:dyDescent="0.25">
      <c r="A36" s="8">
        <v>35</v>
      </c>
    </row>
    <row r="37" spans="1:1" x14ac:dyDescent="0.25">
      <c r="A37" s="8">
        <v>36</v>
      </c>
    </row>
    <row r="38" spans="1:1" x14ac:dyDescent="0.25">
      <c r="A38" s="8">
        <v>37</v>
      </c>
    </row>
    <row r="39" spans="1:1" x14ac:dyDescent="0.25">
      <c r="A39" s="8">
        <v>38</v>
      </c>
    </row>
    <row r="40" spans="1:1" x14ac:dyDescent="0.25">
      <c r="A40" s="8">
        <v>39</v>
      </c>
    </row>
    <row r="41" spans="1:1" x14ac:dyDescent="0.25">
      <c r="A41" s="8">
        <v>40</v>
      </c>
    </row>
    <row r="42" spans="1:1" x14ac:dyDescent="0.25">
      <c r="A42" s="8">
        <v>41</v>
      </c>
    </row>
    <row r="43" spans="1:1" x14ac:dyDescent="0.25">
      <c r="A43" s="8">
        <v>42</v>
      </c>
    </row>
    <row r="44" spans="1:1" x14ac:dyDescent="0.25">
      <c r="A44" s="8">
        <v>43</v>
      </c>
    </row>
    <row r="45" spans="1:1" x14ac:dyDescent="0.25">
      <c r="A45" s="8">
        <v>44</v>
      </c>
    </row>
    <row r="46" spans="1:1" x14ac:dyDescent="0.25">
      <c r="A46" s="8">
        <v>45</v>
      </c>
    </row>
    <row r="47" spans="1:1" x14ac:dyDescent="0.25">
      <c r="A47" s="8">
        <v>46</v>
      </c>
    </row>
    <row r="48" spans="1:1" x14ac:dyDescent="0.25">
      <c r="A48" s="8">
        <v>47</v>
      </c>
    </row>
    <row r="49" spans="1:1" x14ac:dyDescent="0.25">
      <c r="A49" s="8">
        <v>48</v>
      </c>
    </row>
    <row r="50" spans="1:1" x14ac:dyDescent="0.25">
      <c r="A50" s="8">
        <v>49</v>
      </c>
    </row>
    <row r="51" spans="1:1" x14ac:dyDescent="0.25">
      <c r="A51" s="8">
        <v>50</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
  <sheetViews>
    <sheetView topLeftCell="A6" zoomScaleNormal="100" workbookViewId="0">
      <selection activeCell="A6" sqref="A6:G6"/>
    </sheetView>
  </sheetViews>
  <sheetFormatPr defaultColWidth="8.5546875" defaultRowHeight="13.2" x14ac:dyDescent="0.25"/>
  <cols>
    <col min="5" max="5" width="17.44140625" customWidth="1"/>
  </cols>
  <sheetData>
    <row r="1" spans="1:19" s="2" customFormat="1" ht="30" customHeight="1" x14ac:dyDescent="0.25">
      <c r="A1" s="395" t="s">
        <v>61</v>
      </c>
      <c r="B1" s="395"/>
      <c r="C1" s="395"/>
      <c r="D1" s="395"/>
      <c r="E1" s="395"/>
      <c r="F1" s="395"/>
      <c r="G1" s="395"/>
      <c r="H1" s="395"/>
      <c r="I1" s="395"/>
      <c r="J1" s="395"/>
      <c r="K1" s="395"/>
      <c r="L1" s="395"/>
      <c r="M1" s="395"/>
      <c r="N1" s="395"/>
      <c r="O1" s="395"/>
      <c r="P1" s="395"/>
      <c r="Q1" s="395"/>
    </row>
    <row r="2" spans="1:19" s="2" customFormat="1" ht="30" customHeight="1" thickBot="1" x14ac:dyDescent="0.3">
      <c r="A2" s="397" t="s">
        <v>62</v>
      </c>
      <c r="B2" s="397"/>
      <c r="C2" s="397"/>
      <c r="D2" s="397"/>
      <c r="E2" s="397"/>
      <c r="F2" s="383"/>
      <c r="G2" s="383"/>
      <c r="H2" s="383"/>
      <c r="I2" s="383"/>
      <c r="J2" s="383"/>
      <c r="K2" s="383"/>
      <c r="L2" s="383"/>
      <c r="M2" s="383"/>
      <c r="N2" s="383"/>
      <c r="O2" s="383"/>
      <c r="P2" s="383"/>
    </row>
    <row r="3" spans="1:19" s="2" customFormat="1" ht="30" customHeight="1" thickBot="1" x14ac:dyDescent="0.3">
      <c r="A3" s="396" t="s">
        <v>63</v>
      </c>
      <c r="B3" s="396"/>
      <c r="C3" s="409" t="s">
        <v>64</v>
      </c>
      <c r="D3" s="410"/>
      <c r="E3" s="410"/>
      <c r="F3" s="410"/>
      <c r="G3" s="410"/>
      <c r="H3" s="410"/>
      <c r="I3" s="410"/>
      <c r="J3" s="410"/>
      <c r="K3" s="410"/>
      <c r="L3" s="410"/>
      <c r="M3" s="410"/>
      <c r="N3" s="410"/>
      <c r="O3" s="410"/>
      <c r="P3" s="410"/>
      <c r="Q3" s="410"/>
      <c r="R3" s="410"/>
      <c r="S3" s="411"/>
    </row>
    <row r="4" spans="1:19" s="5" customFormat="1" ht="30" customHeight="1" thickBot="1" x14ac:dyDescent="0.3">
      <c r="A4" s="396" t="s">
        <v>65</v>
      </c>
      <c r="B4" s="396"/>
      <c r="C4" s="396"/>
      <c r="D4" s="402"/>
      <c r="E4" s="403" t="s">
        <v>66</v>
      </c>
      <c r="F4" s="404"/>
      <c r="G4" s="404"/>
      <c r="H4" s="405"/>
      <c r="I4" s="4"/>
      <c r="J4" s="4"/>
      <c r="K4" s="4"/>
      <c r="L4" s="4"/>
      <c r="M4" s="4"/>
      <c r="N4" s="4"/>
      <c r="O4" s="4"/>
      <c r="P4" s="4"/>
      <c r="Q4" s="4"/>
      <c r="R4" s="4"/>
      <c r="S4" s="4"/>
    </row>
    <row r="5" spans="1:19" s="5" customFormat="1" ht="30" customHeight="1" thickBot="1" x14ac:dyDescent="0.3">
      <c r="A5" s="396" t="s">
        <v>67</v>
      </c>
      <c r="B5" s="396"/>
      <c r="C5" s="396"/>
      <c r="D5" s="396"/>
      <c r="E5" s="396"/>
      <c r="F5" s="396"/>
      <c r="G5" s="396"/>
      <c r="H5" s="4"/>
      <c r="I5" s="4"/>
      <c r="J5" s="4"/>
      <c r="K5" s="4"/>
      <c r="L5" s="4"/>
      <c r="M5" s="4"/>
      <c r="N5" s="4"/>
      <c r="O5" s="4"/>
      <c r="P5" s="4"/>
      <c r="Q5" s="4"/>
      <c r="R5" s="4"/>
      <c r="S5" s="4"/>
    </row>
    <row r="6" spans="1:19" s="5" customFormat="1" ht="30" customHeight="1" thickBot="1" x14ac:dyDescent="0.3">
      <c r="A6" s="398" t="s">
        <v>68</v>
      </c>
      <c r="B6" s="398"/>
      <c r="C6" s="398"/>
      <c r="D6" s="398"/>
      <c r="E6" s="398"/>
      <c r="F6" s="398"/>
      <c r="G6" s="398"/>
      <c r="H6" s="399" t="s">
        <v>69</v>
      </c>
      <c r="I6" s="400"/>
      <c r="J6" s="400"/>
      <c r="K6" s="400"/>
      <c r="L6" s="400"/>
      <c r="M6" s="400"/>
      <c r="N6" s="400"/>
      <c r="O6" s="400"/>
      <c r="P6" s="400"/>
      <c r="Q6" s="401"/>
      <c r="R6" s="4"/>
      <c r="S6" s="4"/>
    </row>
    <row r="7" spans="1:19" s="5" customFormat="1" ht="30" customHeight="1" x14ac:dyDescent="0.25">
      <c r="A7" s="398" t="s">
        <v>70</v>
      </c>
      <c r="B7" s="398"/>
      <c r="C7" s="398"/>
      <c r="D7" s="398"/>
      <c r="E7" s="398"/>
      <c r="F7" s="398"/>
      <c r="G7" s="398"/>
      <c r="H7" s="406" t="s">
        <v>71</v>
      </c>
      <c r="I7" s="407"/>
      <c r="J7" s="407"/>
      <c r="K7" s="407"/>
      <c r="L7" s="407"/>
      <c r="M7" s="407"/>
      <c r="N7" s="407"/>
      <c r="O7" s="407"/>
      <c r="P7" s="407"/>
      <c r="Q7" s="408"/>
      <c r="R7" s="4"/>
      <c r="S7" s="4"/>
    </row>
    <row r="8" spans="1:19" s="5" customFormat="1" ht="30" customHeight="1" thickBot="1" x14ac:dyDescent="0.3">
      <c r="A8" s="398" t="s">
        <v>72</v>
      </c>
      <c r="B8" s="398"/>
      <c r="C8" s="398"/>
      <c r="D8" s="398"/>
      <c r="E8" s="398"/>
      <c r="F8" s="398"/>
      <c r="G8" s="398"/>
      <c r="H8" s="399" t="s">
        <v>73</v>
      </c>
      <c r="I8" s="400"/>
      <c r="J8" s="400"/>
      <c r="K8" s="400"/>
      <c r="L8" s="400"/>
      <c r="M8" s="400"/>
      <c r="N8" s="400"/>
      <c r="O8" s="400"/>
      <c r="P8" s="400"/>
      <c r="Q8" s="401"/>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hyperlinks>
    <hyperlink ref="H7:Q7" r:id="rId1" display="jplong01@wm.edu" xr:uid="{B31DE596-3298-4B96-9E84-B10F4F5CFE1E}"/>
  </hyperlinks>
  <pageMargins left="0.7" right="0.7" top="0.75" bottom="0.75" header="0.3" footer="0.3"/>
  <pageSetup scale="53" orientation="portrait" horizontalDpi="1200" verticalDpi="1200" r:id="rId2"/>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
  <sheetViews>
    <sheetView zoomScale="80" zoomScaleNormal="80" workbookViewId="0">
      <selection activeCell="D25" sqref="D25"/>
    </sheetView>
  </sheetViews>
  <sheetFormatPr defaultRowHeight="13.2" x14ac:dyDescent="0.25"/>
  <cols>
    <col min="1" max="1" width="54.44140625" customWidth="1"/>
    <col min="2" max="6" width="20.5546875" customWidth="1"/>
  </cols>
  <sheetData>
    <row r="1" spans="1:6" ht="22.8" x14ac:dyDescent="0.4">
      <c r="A1" s="98" t="s">
        <v>74</v>
      </c>
      <c r="B1" s="99"/>
      <c r="C1" s="99"/>
      <c r="D1" s="99"/>
      <c r="E1" s="99"/>
      <c r="F1" s="169"/>
    </row>
    <row r="2" spans="1:6" ht="22.5" customHeight="1" x14ac:dyDescent="0.25">
      <c r="A2" s="178" t="str">
        <f>'Institution ID'!C3</f>
        <v>William &amp; Mary</v>
      </c>
      <c r="B2" s="178"/>
      <c r="C2" s="178"/>
      <c r="D2" s="178"/>
      <c r="E2" s="178"/>
      <c r="F2" s="169"/>
    </row>
    <row r="3" spans="1:6" ht="15" x14ac:dyDescent="0.25">
      <c r="A3" s="100"/>
      <c r="B3" s="100"/>
      <c r="C3" s="100"/>
      <c r="D3" s="100"/>
      <c r="E3" s="100"/>
      <c r="F3" s="169"/>
    </row>
    <row r="4" spans="1:6" ht="85.5" customHeight="1" x14ac:dyDescent="0.25">
      <c r="A4" s="418" t="s">
        <v>75</v>
      </c>
      <c r="B4" s="419"/>
      <c r="C4" s="419"/>
      <c r="D4" s="419"/>
      <c r="E4" s="419"/>
      <c r="F4" s="419"/>
    </row>
    <row r="5" spans="1:6" ht="15" x14ac:dyDescent="0.25">
      <c r="A5" s="169"/>
      <c r="B5" s="101"/>
      <c r="C5" s="101"/>
      <c r="D5" s="101"/>
      <c r="E5" s="101"/>
      <c r="F5" s="101"/>
    </row>
    <row r="6" spans="1:6" ht="17.399999999999999" x14ac:dyDescent="0.3">
      <c r="A6" s="169"/>
      <c r="B6" s="412" t="s">
        <v>76</v>
      </c>
      <c r="C6" s="413"/>
      <c r="D6" s="413"/>
      <c r="E6" s="413"/>
      <c r="F6" s="414"/>
    </row>
    <row r="7" spans="1:6" ht="15" x14ac:dyDescent="0.25">
      <c r="B7" s="179" t="s">
        <v>77</v>
      </c>
      <c r="C7" s="415" t="s">
        <v>78</v>
      </c>
      <c r="D7" s="416"/>
      <c r="E7" s="416" t="s">
        <v>79</v>
      </c>
      <c r="F7" s="417"/>
    </row>
    <row r="8" spans="1:6" ht="30" x14ac:dyDescent="0.25">
      <c r="B8" s="180" t="s">
        <v>80</v>
      </c>
      <c r="C8" s="181" t="s">
        <v>81</v>
      </c>
      <c r="D8" s="182" t="s">
        <v>82</v>
      </c>
      <c r="E8" s="181" t="s">
        <v>81</v>
      </c>
      <c r="F8" s="182" t="s">
        <v>82</v>
      </c>
    </row>
    <row r="9" spans="1:6" ht="15" x14ac:dyDescent="0.25">
      <c r="A9" s="118" t="s">
        <v>83</v>
      </c>
      <c r="B9" s="126">
        <v>18253</v>
      </c>
      <c r="C9" s="129">
        <f>ROUND(B9*1.03,0)</f>
        <v>18801</v>
      </c>
      <c r="D9" s="119">
        <f>IF(C9=0,"%",C9/B9-1)</f>
        <v>3.0022462061030986E-2</v>
      </c>
      <c r="E9" s="129">
        <f>ROUND(C9*1.04,0)</f>
        <v>19553</v>
      </c>
      <c r="F9" s="119">
        <f>IF(E9=0,"%",E9/C9-1)</f>
        <v>3.9997872453592986E-2</v>
      </c>
    </row>
    <row r="10" spans="1:6" ht="15" x14ac:dyDescent="0.25">
      <c r="A10" s="116" t="s">
        <v>84</v>
      </c>
      <c r="B10" s="127">
        <v>136</v>
      </c>
      <c r="C10" s="130">
        <v>136</v>
      </c>
      <c r="D10" s="120">
        <f t="shared" ref="D10:D15" si="0">IF(C10=0,"%",C10/B10-1)</f>
        <v>0</v>
      </c>
      <c r="E10" s="130">
        <v>136</v>
      </c>
      <c r="F10" s="120">
        <f t="shared" ref="F10:F15" si="1">IF(E10=0,"%",E10/C10-1)</f>
        <v>0</v>
      </c>
    </row>
    <row r="11" spans="1:6" ht="15" x14ac:dyDescent="0.25">
      <c r="A11" s="117" t="s">
        <v>85</v>
      </c>
      <c r="B11" s="128">
        <v>6652</v>
      </c>
      <c r="C11" s="131">
        <f>ROUND(B11*1.03,0)</f>
        <v>6852</v>
      </c>
      <c r="D11" s="121">
        <f t="shared" si="0"/>
        <v>3.0066145520144305E-2</v>
      </c>
      <c r="E11" s="131">
        <f>ROUND(C11*1.03,0)</f>
        <v>7058</v>
      </c>
      <c r="F11" s="121">
        <f t="shared" si="1"/>
        <v>3.0064214827787428E-2</v>
      </c>
    </row>
    <row r="12" spans="1:6" ht="15" x14ac:dyDescent="0.25">
      <c r="A12" s="123" t="s">
        <v>86</v>
      </c>
      <c r="B12" s="124">
        <f>SUM(B9:B11)</f>
        <v>25041</v>
      </c>
      <c r="C12" s="125">
        <f>SUM(C9:C11)</f>
        <v>25789</v>
      </c>
      <c r="D12" s="121">
        <f t="shared" si="0"/>
        <v>2.9871011541072745E-2</v>
      </c>
      <c r="E12" s="125">
        <f>SUM(E9:E11)</f>
        <v>26747</v>
      </c>
      <c r="F12" s="121">
        <f>IF(E12=0,"%",E12/C12-1)</f>
        <v>3.7147621078754467E-2</v>
      </c>
    </row>
    <row r="13" spans="1:6" ht="15" x14ac:dyDescent="0.25">
      <c r="A13" s="116" t="s">
        <v>87</v>
      </c>
      <c r="B13" s="126">
        <v>42053</v>
      </c>
      <c r="C13" s="129">
        <f>ROUND(B13*1.03,0)</f>
        <v>43315</v>
      </c>
      <c r="D13" s="120">
        <f t="shared" si="0"/>
        <v>3.0009749601693114E-2</v>
      </c>
      <c r="E13" s="129">
        <f>ROUND(C13*1.04,0)</f>
        <v>45048</v>
      </c>
      <c r="F13" s="120">
        <f t="shared" si="1"/>
        <v>4.0009234676209093E-2</v>
      </c>
    </row>
    <row r="14" spans="1:6" ht="15" x14ac:dyDescent="0.25">
      <c r="A14" s="116" t="s">
        <v>88</v>
      </c>
      <c r="B14" s="127">
        <v>707</v>
      </c>
      <c r="C14" s="130">
        <f>B14</f>
        <v>707</v>
      </c>
      <c r="D14" s="120">
        <f t="shared" si="0"/>
        <v>0</v>
      </c>
      <c r="E14" s="130">
        <f>C14</f>
        <v>707</v>
      </c>
      <c r="F14" s="120">
        <f t="shared" si="1"/>
        <v>0</v>
      </c>
    </row>
    <row r="15" spans="1:6" ht="15" x14ac:dyDescent="0.25">
      <c r="A15" s="117" t="s">
        <v>89</v>
      </c>
      <c r="B15" s="128">
        <v>6652</v>
      </c>
      <c r="C15" s="131">
        <f>ROUND(B15*1.03,0)</f>
        <v>6852</v>
      </c>
      <c r="D15" s="121">
        <f t="shared" si="0"/>
        <v>3.0066145520144305E-2</v>
      </c>
      <c r="E15" s="131">
        <f>ROUND(C15*1.03,0)</f>
        <v>7058</v>
      </c>
      <c r="F15" s="121">
        <f t="shared" si="1"/>
        <v>3.0064214827787428E-2</v>
      </c>
    </row>
    <row r="16" spans="1:6" ht="15" x14ac:dyDescent="0.25">
      <c r="A16" s="123" t="s">
        <v>90</v>
      </c>
      <c r="B16" s="124">
        <f>SUM(B13:B15)</f>
        <v>49412</v>
      </c>
      <c r="C16" s="125">
        <f>SUM(C13:C15)</f>
        <v>50874</v>
      </c>
      <c r="D16" s="121">
        <f t="shared" ref="D16" si="2">IF(C16=0,"%",C16/B16-1)</f>
        <v>2.9587954343074596E-2</v>
      </c>
      <c r="E16" s="125">
        <f>SUM(E13:E15)</f>
        <v>52813</v>
      </c>
      <c r="F16" s="121">
        <f>IF(E16=0,"%",E16/C16-1)</f>
        <v>3.8113771278059483E-2</v>
      </c>
    </row>
  </sheetData>
  <mergeCells count="4">
    <mergeCell ref="B6:F6"/>
    <mergeCell ref="C7:D7"/>
    <mergeCell ref="E7:F7"/>
    <mergeCell ref="A4: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5"/>
  <sheetViews>
    <sheetView tabSelected="1" topLeftCell="A19" zoomScaleNormal="100" zoomScalePageLayoutView="150" workbookViewId="0">
      <selection activeCell="B39" sqref="B39"/>
    </sheetView>
  </sheetViews>
  <sheetFormatPr defaultColWidth="8.5546875" defaultRowHeight="13.2" x14ac:dyDescent="0.25"/>
  <cols>
    <col min="1" max="1" width="39.5546875" customWidth="1"/>
    <col min="2" max="2" width="19.109375" bestFit="1" customWidth="1"/>
    <col min="3" max="3" width="20.5546875" customWidth="1"/>
    <col min="4" max="4" width="8" style="158" bestFit="1" customWidth="1"/>
    <col min="5" max="5" width="20.5546875" customWidth="1"/>
    <col min="6" max="6" width="8" style="158" bestFit="1" customWidth="1"/>
    <col min="7" max="7" width="20.5546875" customWidth="1"/>
    <col min="8" max="8" width="8" style="158" bestFit="1" customWidth="1"/>
    <col min="9" max="9" width="23.109375" bestFit="1" customWidth="1"/>
    <col min="10" max="10" width="7.44140625" style="158" customWidth="1"/>
    <col min="11" max="11" width="23.109375" bestFit="1" customWidth="1"/>
    <col min="12" max="12" width="7.44140625" style="158" customWidth="1"/>
    <col min="13" max="13" width="23.109375" bestFit="1" customWidth="1"/>
    <col min="14" max="14" width="7.44140625" style="158" customWidth="1"/>
    <col min="15" max="15" width="23.109375" bestFit="1" customWidth="1"/>
    <col min="16" max="16" width="7.44140625" style="158" customWidth="1"/>
    <col min="17" max="17" width="15.109375" bestFit="1" customWidth="1"/>
  </cols>
  <sheetData>
    <row r="1" spans="1:18" s="1" customFormat="1" ht="20.100000000000001" customHeight="1" x14ac:dyDescent="0.25">
      <c r="A1" s="57" t="s">
        <v>91</v>
      </c>
      <c r="B1" s="57"/>
      <c r="C1" s="57"/>
      <c r="D1" s="153"/>
      <c r="E1" s="57"/>
      <c r="F1" s="153"/>
      <c r="G1" s="57"/>
      <c r="H1" s="153"/>
      <c r="J1" s="153"/>
      <c r="L1" s="153"/>
      <c r="N1" s="153"/>
      <c r="P1" s="153"/>
    </row>
    <row r="2" spans="1:18" s="1" customFormat="1" ht="20.100000000000001" customHeight="1" x14ac:dyDescent="0.25">
      <c r="A2" s="420" t="str">
        <f>'Institution ID'!C3</f>
        <v>William &amp; Mary</v>
      </c>
      <c r="B2" s="420"/>
      <c r="C2" s="420"/>
      <c r="D2" s="420"/>
      <c r="E2" s="420"/>
      <c r="F2" s="420"/>
      <c r="G2" s="420"/>
      <c r="H2" s="384"/>
    </row>
    <row r="3" spans="1:18" s="2" customFormat="1" ht="161.25" customHeight="1" x14ac:dyDescent="0.25">
      <c r="A3" s="422" t="s">
        <v>92</v>
      </c>
      <c r="B3" s="423"/>
      <c r="C3" s="423"/>
      <c r="D3" s="423"/>
      <c r="E3" s="423"/>
      <c r="F3" s="423"/>
      <c r="G3" s="424"/>
      <c r="H3" s="152"/>
      <c r="I3" s="425" t="s">
        <v>93</v>
      </c>
      <c r="J3" s="426"/>
      <c r="K3" s="426"/>
      <c r="L3" s="426"/>
      <c r="M3" s="426"/>
      <c r="N3" s="426"/>
      <c r="O3" s="427"/>
    </row>
    <row r="4" spans="1:18" ht="15" customHeight="1" x14ac:dyDescent="0.25">
      <c r="A4" s="421" t="s">
        <v>94</v>
      </c>
      <c r="B4" s="104" t="s">
        <v>95</v>
      </c>
      <c r="C4" s="104" t="s">
        <v>96</v>
      </c>
      <c r="D4" s="154"/>
      <c r="E4" s="104" t="s">
        <v>97</v>
      </c>
      <c r="F4" s="154"/>
      <c r="G4" s="104" t="s">
        <v>98</v>
      </c>
      <c r="H4" s="154"/>
      <c r="I4" s="104" t="s">
        <v>99</v>
      </c>
      <c r="J4" s="154"/>
      <c r="K4" s="104" t="s">
        <v>100</v>
      </c>
      <c r="L4" s="154"/>
      <c r="M4" s="136" t="s">
        <v>101</v>
      </c>
      <c r="N4" s="154"/>
      <c r="O4" s="104" t="s">
        <v>102</v>
      </c>
      <c r="P4" s="154"/>
    </row>
    <row r="5" spans="1:18" ht="30" customHeight="1" x14ac:dyDescent="0.25">
      <c r="A5" s="421"/>
      <c r="B5" s="105" t="s">
        <v>103</v>
      </c>
      <c r="C5" s="105" t="s">
        <v>103</v>
      </c>
      <c r="D5" s="159" t="s">
        <v>104</v>
      </c>
      <c r="E5" s="105" t="s">
        <v>105</v>
      </c>
      <c r="F5" s="159" t="s">
        <v>104</v>
      </c>
      <c r="G5" s="105" t="s">
        <v>105</v>
      </c>
      <c r="H5" s="159" t="s">
        <v>104</v>
      </c>
      <c r="I5" s="105" t="s">
        <v>106</v>
      </c>
      <c r="J5" s="159" t="s">
        <v>104</v>
      </c>
      <c r="K5" s="105" t="s">
        <v>106</v>
      </c>
      <c r="L5" s="159" t="s">
        <v>104</v>
      </c>
      <c r="M5" s="105" t="s">
        <v>106</v>
      </c>
      <c r="N5" s="159" t="s">
        <v>104</v>
      </c>
      <c r="O5" s="105" t="s">
        <v>106</v>
      </c>
      <c r="P5" s="159" t="s">
        <v>104</v>
      </c>
      <c r="Q5" s="133" t="s">
        <v>107</v>
      </c>
      <c r="R5" s="160" t="s">
        <v>108</v>
      </c>
    </row>
    <row r="6" spans="1:18" ht="15" customHeight="1" x14ac:dyDescent="0.25">
      <c r="A6" s="106" t="s">
        <v>109</v>
      </c>
      <c r="B6" s="106"/>
      <c r="C6" s="106"/>
      <c r="D6" s="155"/>
      <c r="E6" s="106"/>
      <c r="F6" s="155"/>
      <c r="G6" s="106"/>
      <c r="H6" s="155"/>
      <c r="J6" s="155"/>
      <c r="L6" s="155"/>
      <c r="N6" s="155"/>
      <c r="O6" s="122"/>
      <c r="P6" s="155"/>
      <c r="Q6" s="132"/>
      <c r="R6" s="161"/>
    </row>
    <row r="7" spans="1:18" ht="15" customHeight="1" x14ac:dyDescent="0.25">
      <c r="A7" s="107" t="s">
        <v>110</v>
      </c>
      <c r="B7" s="108">
        <v>76397784</v>
      </c>
      <c r="C7" s="108">
        <f>79702231+300000</f>
        <v>80002231</v>
      </c>
      <c r="D7" s="155">
        <f>IF(B7=0,"%",C7/B7-1)</f>
        <v>4.7179994121295366E-2</v>
      </c>
      <c r="E7" s="108">
        <f>81552214.57+300000+453</f>
        <v>81852667.569999993</v>
      </c>
      <c r="F7" s="155">
        <f>IF(C7=0,"%",E7/C7-1)</f>
        <v>2.3129812092365087E-2</v>
      </c>
      <c r="G7" s="108">
        <f>82187973+300000+1000000+597625+453</f>
        <v>84086051</v>
      </c>
      <c r="H7" s="155">
        <f>IF(E7=0,"%",G7/E7-1)</f>
        <v>2.7285407993453914E-2</v>
      </c>
      <c r="I7" s="108">
        <f>G7</f>
        <v>84086051</v>
      </c>
      <c r="J7" s="155">
        <f>IF(G7=0,"%",I7/G7-1)</f>
        <v>0</v>
      </c>
      <c r="K7" s="108">
        <f>I7</f>
        <v>84086051</v>
      </c>
      <c r="L7" s="155">
        <f>IF(I7=0,"%",K7/I7-1)</f>
        <v>0</v>
      </c>
      <c r="M7" s="108">
        <f>K7</f>
        <v>84086051</v>
      </c>
      <c r="N7" s="155">
        <f>IF(K7=0,"%",M7/K7-1)</f>
        <v>0</v>
      </c>
      <c r="O7" s="108">
        <f>M7</f>
        <v>84086051</v>
      </c>
      <c r="P7" s="155">
        <f>IF(M7=0,"%",O7/M7-1)</f>
        <v>0</v>
      </c>
      <c r="Q7" s="132" t="str">
        <f t="shared" ref="Q7:Q26" si="0">IF(O13=0,"%",O13/B13-1)</f>
        <v>%</v>
      </c>
      <c r="R7" s="161">
        <f t="shared" ref="R7:R26" si="1">IF(B7=0,"%",(O7/B7)^(1/7)-1)</f>
        <v>1.3792392363898287E-2</v>
      </c>
    </row>
    <row r="8" spans="1:18" ht="15" customHeight="1" x14ac:dyDescent="0.25">
      <c r="A8" s="107" t="s">
        <v>111</v>
      </c>
      <c r="B8" s="108">
        <v>92055134</v>
      </c>
      <c r="C8" s="108">
        <f>99494963+250000</f>
        <v>99744963</v>
      </c>
      <c r="D8" s="155">
        <f>IF(B8=0,"%",C8/B8-1)</f>
        <v>8.3535036731357204E-2</v>
      </c>
      <c r="E8" s="108">
        <f>106727401.61+250000-597625</f>
        <v>106379776.61</v>
      </c>
      <c r="F8" s="155">
        <f>IF(C8=0,"%",E8/C8-1)</f>
        <v>6.6517781053264891E-2</v>
      </c>
      <c r="G8" s="108">
        <f>110719663.93+250000</f>
        <v>110969663.93000001</v>
      </c>
      <c r="H8" s="155">
        <f>IF(E8=0,"%",G8/E8-1)</f>
        <v>4.3146239504027628E-2</v>
      </c>
      <c r="I8" s="108">
        <f t="shared" ref="I8:O12" si="2">G8</f>
        <v>110969663.93000001</v>
      </c>
      <c r="J8" s="155">
        <f>IF(G8=0,"%",I8/G8-1)</f>
        <v>0</v>
      </c>
      <c r="K8" s="108">
        <f t="shared" si="2"/>
        <v>110969663.93000001</v>
      </c>
      <c r="L8" s="155">
        <f>IF(I8=0,"%",K8/I8-1)</f>
        <v>0</v>
      </c>
      <c r="M8" s="108">
        <f t="shared" si="2"/>
        <v>110969663.93000001</v>
      </c>
      <c r="N8" s="155">
        <f>IF(K8=0,"%",M8/K8-1)</f>
        <v>0</v>
      </c>
      <c r="O8" s="108">
        <f t="shared" si="2"/>
        <v>110969663.93000001</v>
      </c>
      <c r="P8" s="155">
        <f>IF(M8=0,"%",O8/M8-1)</f>
        <v>0</v>
      </c>
      <c r="Q8" s="132" t="str">
        <f t="shared" si="0"/>
        <v>%</v>
      </c>
      <c r="R8" s="161">
        <f t="shared" si="1"/>
        <v>2.7055117524244388E-2</v>
      </c>
    </row>
    <row r="9" spans="1:18" ht="15" customHeight="1" x14ac:dyDescent="0.25">
      <c r="A9" s="107" t="s">
        <v>112</v>
      </c>
      <c r="B9" s="108">
        <v>17890955</v>
      </c>
      <c r="C9" s="108">
        <f>B9</f>
        <v>17890955</v>
      </c>
      <c r="D9" s="155">
        <f t="shared" ref="D9:D26" si="3">IF(B9=0,"%",C9/B9-1)</f>
        <v>0</v>
      </c>
      <c r="E9" s="108">
        <f>C9+110000</f>
        <v>18000955</v>
      </c>
      <c r="F9" s="155">
        <f t="shared" ref="F9:P26" si="4">IF(C9=0,"%",E9/C9-1)</f>
        <v>6.1483582067027864E-3</v>
      </c>
      <c r="G9" s="108">
        <f>E9+110000</f>
        <v>18110955</v>
      </c>
      <c r="H9" s="155">
        <f t="shared" si="4"/>
        <v>6.1107868999172865E-3</v>
      </c>
      <c r="I9" s="108">
        <f t="shared" si="2"/>
        <v>18110955</v>
      </c>
      <c r="J9" s="155">
        <f t="shared" si="4"/>
        <v>0</v>
      </c>
      <c r="K9" s="108">
        <f t="shared" si="2"/>
        <v>18110955</v>
      </c>
      <c r="L9" s="155">
        <f t="shared" si="4"/>
        <v>0</v>
      </c>
      <c r="M9" s="108">
        <f t="shared" si="2"/>
        <v>18110955</v>
      </c>
      <c r="N9" s="155">
        <f t="shared" si="4"/>
        <v>0</v>
      </c>
      <c r="O9" s="108">
        <f t="shared" si="2"/>
        <v>18110955</v>
      </c>
      <c r="P9" s="155">
        <f t="shared" si="4"/>
        <v>0</v>
      </c>
      <c r="Q9" s="132" t="str">
        <f t="shared" si="0"/>
        <v>%</v>
      </c>
      <c r="R9" s="161">
        <f t="shared" si="1"/>
        <v>1.7474859239554608E-3</v>
      </c>
    </row>
    <row r="10" spans="1:18" ht="15" customHeight="1" x14ac:dyDescent="0.25">
      <c r="A10" s="107" t="s">
        <v>113</v>
      </c>
      <c r="B10" s="108">
        <v>21388421</v>
      </c>
      <c r="C10" s="108">
        <v>21580823.84</v>
      </c>
      <c r="D10" s="155">
        <f t="shared" si="3"/>
        <v>8.9956542374025616E-3</v>
      </c>
      <c r="E10" s="108">
        <f>21662866.21+115000</f>
        <v>21777866.210000001</v>
      </c>
      <c r="F10" s="155">
        <f t="shared" si="4"/>
        <v>9.130437811868175E-3</v>
      </c>
      <c r="G10" s="108">
        <f>21700828+115000</f>
        <v>21815828</v>
      </c>
      <c r="H10" s="155">
        <f t="shared" si="4"/>
        <v>1.7431363400775002E-3</v>
      </c>
      <c r="I10" s="108">
        <f t="shared" si="2"/>
        <v>21815828</v>
      </c>
      <c r="J10" s="155">
        <f t="shared" si="4"/>
        <v>0</v>
      </c>
      <c r="K10" s="108">
        <f t="shared" si="2"/>
        <v>21815828</v>
      </c>
      <c r="L10" s="155">
        <f t="shared" si="4"/>
        <v>0</v>
      </c>
      <c r="M10" s="108">
        <f t="shared" si="2"/>
        <v>21815828</v>
      </c>
      <c r="N10" s="155">
        <f t="shared" si="4"/>
        <v>0</v>
      </c>
      <c r="O10" s="108">
        <f t="shared" si="2"/>
        <v>21815828</v>
      </c>
      <c r="P10" s="155">
        <f t="shared" si="4"/>
        <v>0</v>
      </c>
      <c r="Q10" s="132" t="str">
        <f t="shared" si="0"/>
        <v>%</v>
      </c>
      <c r="R10" s="161">
        <f t="shared" si="1"/>
        <v>2.8305786243874032E-3</v>
      </c>
    </row>
    <row r="11" spans="1:18" ht="15" customHeight="1" x14ac:dyDescent="0.25">
      <c r="A11" s="107" t="s">
        <v>114</v>
      </c>
      <c r="B11" s="108">
        <v>5929770</v>
      </c>
      <c r="C11" s="108">
        <v>4766034</v>
      </c>
      <c r="D11" s="155">
        <f t="shared" si="3"/>
        <v>-0.19625314303927466</v>
      </c>
      <c r="E11" s="108">
        <f>C11</f>
        <v>4766034</v>
      </c>
      <c r="F11" s="155">
        <f t="shared" si="4"/>
        <v>0</v>
      </c>
      <c r="G11" s="108">
        <f>E11</f>
        <v>4766034</v>
      </c>
      <c r="H11" s="155">
        <f t="shared" si="4"/>
        <v>0</v>
      </c>
      <c r="I11" s="108">
        <f t="shared" si="2"/>
        <v>4766034</v>
      </c>
      <c r="J11" s="155">
        <f t="shared" si="4"/>
        <v>0</v>
      </c>
      <c r="K11" s="108">
        <f t="shared" si="2"/>
        <v>4766034</v>
      </c>
      <c r="L11" s="155">
        <f t="shared" si="4"/>
        <v>0</v>
      </c>
      <c r="M11" s="108">
        <f t="shared" si="2"/>
        <v>4766034</v>
      </c>
      <c r="N11" s="155">
        <f t="shared" si="4"/>
        <v>0</v>
      </c>
      <c r="O11" s="108">
        <f t="shared" si="2"/>
        <v>4766034</v>
      </c>
      <c r="P11" s="155">
        <f t="shared" si="4"/>
        <v>0</v>
      </c>
      <c r="Q11" s="132" t="str">
        <f t="shared" si="0"/>
        <v>%</v>
      </c>
      <c r="R11" s="161">
        <f t="shared" si="1"/>
        <v>-3.0728121965186372E-2</v>
      </c>
    </row>
    <row r="12" spans="1:18" ht="15" customHeight="1" x14ac:dyDescent="0.25">
      <c r="A12" s="107" t="s">
        <v>115</v>
      </c>
      <c r="B12" s="108">
        <v>19530612</v>
      </c>
      <c r="C12" s="108">
        <v>24280384.949999999</v>
      </c>
      <c r="D12" s="155">
        <f t="shared" si="3"/>
        <v>0.24319631919368412</v>
      </c>
      <c r="E12" s="108">
        <f>C12+240000</f>
        <v>24520384.949999999</v>
      </c>
      <c r="F12" s="155">
        <f t="shared" si="4"/>
        <v>9.8845220326706507E-3</v>
      </c>
      <c r="G12" s="108">
        <f>E12+250000+469586+444547</f>
        <v>25684517.949999999</v>
      </c>
      <c r="H12" s="155">
        <f t="shared" si="4"/>
        <v>4.7476130671431305E-2</v>
      </c>
      <c r="I12" s="108">
        <f t="shared" si="2"/>
        <v>25684517.949999999</v>
      </c>
      <c r="J12" s="155">
        <f t="shared" si="4"/>
        <v>0</v>
      </c>
      <c r="K12" s="108">
        <f t="shared" si="2"/>
        <v>25684517.949999999</v>
      </c>
      <c r="L12" s="155">
        <f t="shared" si="4"/>
        <v>0</v>
      </c>
      <c r="M12" s="108">
        <f t="shared" si="2"/>
        <v>25684517.949999999</v>
      </c>
      <c r="N12" s="155">
        <f t="shared" si="4"/>
        <v>0</v>
      </c>
      <c r="O12" s="108">
        <f t="shared" si="2"/>
        <v>25684517.949999999</v>
      </c>
      <c r="P12" s="155">
        <f t="shared" si="4"/>
        <v>0</v>
      </c>
      <c r="Q12" s="132" t="str">
        <f t="shared" si="0"/>
        <v>%</v>
      </c>
      <c r="R12" s="161">
        <f t="shared" si="1"/>
        <v>3.9904966631950423E-2</v>
      </c>
    </row>
    <row r="13" spans="1:18" ht="15" customHeight="1" x14ac:dyDescent="0.25">
      <c r="A13" s="107" t="s">
        <v>116</v>
      </c>
      <c r="B13" s="108">
        <f>0</f>
        <v>0</v>
      </c>
      <c r="C13" s="108">
        <f>0</f>
        <v>0</v>
      </c>
      <c r="D13" s="155" t="str">
        <f t="shared" si="3"/>
        <v>%</v>
      </c>
      <c r="E13" s="108">
        <f>0</f>
        <v>0</v>
      </c>
      <c r="F13" s="155" t="str">
        <f t="shared" si="4"/>
        <v>%</v>
      </c>
      <c r="G13" s="108">
        <f>0</f>
        <v>0</v>
      </c>
      <c r="H13" s="155" t="str">
        <f t="shared" si="4"/>
        <v>%</v>
      </c>
      <c r="I13" s="108">
        <f>0</f>
        <v>0</v>
      </c>
      <c r="J13" s="155" t="str">
        <f t="shared" si="4"/>
        <v>%</v>
      </c>
      <c r="K13" s="108">
        <f>0</f>
        <v>0</v>
      </c>
      <c r="L13" s="155" t="str">
        <f t="shared" si="4"/>
        <v>%</v>
      </c>
      <c r="M13" s="137">
        <f>0</f>
        <v>0</v>
      </c>
      <c r="N13" s="155" t="str">
        <f t="shared" si="4"/>
        <v>%</v>
      </c>
      <c r="O13" s="108">
        <f>0</f>
        <v>0</v>
      </c>
      <c r="P13" s="155" t="str">
        <f t="shared" si="4"/>
        <v>%</v>
      </c>
      <c r="Q13" s="132" t="str">
        <f t="shared" si="0"/>
        <v>%</v>
      </c>
      <c r="R13" s="161" t="str">
        <f t="shared" si="1"/>
        <v>%</v>
      </c>
    </row>
    <row r="14" spans="1:18" ht="15" customHeight="1" x14ac:dyDescent="0.25">
      <c r="A14" s="107" t="s">
        <v>117</v>
      </c>
      <c r="B14" s="108">
        <f>0</f>
        <v>0</v>
      </c>
      <c r="C14" s="108">
        <f>0</f>
        <v>0</v>
      </c>
      <c r="D14" s="155" t="str">
        <f t="shared" si="3"/>
        <v>%</v>
      </c>
      <c r="E14" s="108">
        <f>0</f>
        <v>0</v>
      </c>
      <c r="F14" s="155" t="str">
        <f t="shared" si="4"/>
        <v>%</v>
      </c>
      <c r="G14" s="108">
        <f>0</f>
        <v>0</v>
      </c>
      <c r="H14" s="155" t="str">
        <f t="shared" si="4"/>
        <v>%</v>
      </c>
      <c r="I14" s="108">
        <f>0</f>
        <v>0</v>
      </c>
      <c r="J14" s="155" t="str">
        <f t="shared" si="4"/>
        <v>%</v>
      </c>
      <c r="K14" s="108">
        <f>0</f>
        <v>0</v>
      </c>
      <c r="L14" s="155" t="str">
        <f t="shared" si="4"/>
        <v>%</v>
      </c>
      <c r="M14" s="137">
        <f>0</f>
        <v>0</v>
      </c>
      <c r="N14" s="155" t="str">
        <f t="shared" si="4"/>
        <v>%</v>
      </c>
      <c r="O14" s="108">
        <f>0</f>
        <v>0</v>
      </c>
      <c r="P14" s="155" t="str">
        <f t="shared" si="4"/>
        <v>%</v>
      </c>
      <c r="Q14" s="132" t="str">
        <f t="shared" si="0"/>
        <v>%</v>
      </c>
      <c r="R14" s="161" t="str">
        <f t="shared" si="1"/>
        <v>%</v>
      </c>
    </row>
    <row r="15" spans="1:18" ht="15" customHeight="1" x14ac:dyDescent="0.25">
      <c r="A15" s="107" t="s">
        <v>118</v>
      </c>
      <c r="B15" s="108">
        <f>0</f>
        <v>0</v>
      </c>
      <c r="C15" s="108">
        <f>0</f>
        <v>0</v>
      </c>
      <c r="D15" s="155" t="str">
        <f t="shared" si="3"/>
        <v>%</v>
      </c>
      <c r="E15" s="108">
        <f>0</f>
        <v>0</v>
      </c>
      <c r="F15" s="155" t="str">
        <f t="shared" si="4"/>
        <v>%</v>
      </c>
      <c r="G15" s="108">
        <f>0</f>
        <v>0</v>
      </c>
      <c r="H15" s="155" t="str">
        <f t="shared" si="4"/>
        <v>%</v>
      </c>
      <c r="I15" s="108">
        <f>0</f>
        <v>0</v>
      </c>
      <c r="J15" s="155" t="str">
        <f t="shared" si="4"/>
        <v>%</v>
      </c>
      <c r="K15" s="108">
        <f>0</f>
        <v>0</v>
      </c>
      <c r="L15" s="155" t="str">
        <f t="shared" si="4"/>
        <v>%</v>
      </c>
      <c r="M15" s="137">
        <f>0</f>
        <v>0</v>
      </c>
      <c r="N15" s="155" t="str">
        <f t="shared" si="4"/>
        <v>%</v>
      </c>
      <c r="O15" s="108">
        <f>0</f>
        <v>0</v>
      </c>
      <c r="P15" s="155" t="str">
        <f t="shared" si="4"/>
        <v>%</v>
      </c>
      <c r="Q15" s="132">
        <f t="shared" si="0"/>
        <v>-0.19625314303927466</v>
      </c>
      <c r="R15" s="161" t="str">
        <f t="shared" si="1"/>
        <v>%</v>
      </c>
    </row>
    <row r="16" spans="1:18" ht="15" customHeight="1" x14ac:dyDescent="0.25">
      <c r="A16" s="107" t="s">
        <v>119</v>
      </c>
      <c r="B16" s="108">
        <f>0</f>
        <v>0</v>
      </c>
      <c r="C16" s="108">
        <f>0</f>
        <v>0</v>
      </c>
      <c r="D16" s="155" t="str">
        <f t="shared" si="3"/>
        <v>%</v>
      </c>
      <c r="E16" s="108">
        <f>0</f>
        <v>0</v>
      </c>
      <c r="F16" s="155" t="str">
        <f t="shared" si="4"/>
        <v>%</v>
      </c>
      <c r="G16" s="108">
        <f>0</f>
        <v>0</v>
      </c>
      <c r="H16" s="155" t="str">
        <f t="shared" si="4"/>
        <v>%</v>
      </c>
      <c r="I16" s="108">
        <f>0</f>
        <v>0</v>
      </c>
      <c r="J16" s="155" t="str">
        <f t="shared" si="4"/>
        <v>%</v>
      </c>
      <c r="K16" s="108">
        <f>0</f>
        <v>0</v>
      </c>
      <c r="L16" s="155" t="str">
        <f t="shared" si="4"/>
        <v>%</v>
      </c>
      <c r="M16" s="137">
        <f>0</f>
        <v>0</v>
      </c>
      <c r="N16" s="155" t="str">
        <f t="shared" si="4"/>
        <v>%</v>
      </c>
      <c r="O16" s="108">
        <f>0</f>
        <v>0</v>
      </c>
      <c r="P16" s="155" t="str">
        <f t="shared" si="4"/>
        <v>%</v>
      </c>
      <c r="Q16" s="132">
        <f t="shared" si="0"/>
        <v>0.31509027725296068</v>
      </c>
      <c r="R16" s="161" t="str">
        <f t="shared" si="1"/>
        <v>%</v>
      </c>
    </row>
    <row r="17" spans="1:18" ht="15" customHeight="1" x14ac:dyDescent="0.25">
      <c r="A17" s="107" t="s">
        <v>120</v>
      </c>
      <c r="B17" s="108">
        <f>0</f>
        <v>0</v>
      </c>
      <c r="C17" s="108">
        <f>0</f>
        <v>0</v>
      </c>
      <c r="D17" s="155" t="str">
        <f t="shared" si="3"/>
        <v>%</v>
      </c>
      <c r="E17" s="108">
        <f>0</f>
        <v>0</v>
      </c>
      <c r="F17" s="155" t="str">
        <f t="shared" si="4"/>
        <v>%</v>
      </c>
      <c r="G17" s="108">
        <f>0</f>
        <v>0</v>
      </c>
      <c r="H17" s="155" t="str">
        <f t="shared" si="4"/>
        <v>%</v>
      </c>
      <c r="I17" s="108">
        <f>0</f>
        <v>0</v>
      </c>
      <c r="J17" s="155" t="str">
        <f t="shared" si="4"/>
        <v>%</v>
      </c>
      <c r="K17" s="108">
        <f>0</f>
        <v>0</v>
      </c>
      <c r="L17" s="155" t="str">
        <f t="shared" si="4"/>
        <v>%</v>
      </c>
      <c r="M17" s="137">
        <f>0</f>
        <v>0</v>
      </c>
      <c r="N17" s="155" t="str">
        <f t="shared" si="4"/>
        <v>%</v>
      </c>
      <c r="O17" s="108">
        <f>0</f>
        <v>0</v>
      </c>
      <c r="P17" s="155" t="str">
        <f t="shared" si="4"/>
        <v>%</v>
      </c>
      <c r="Q17" s="132">
        <f t="shared" si="0"/>
        <v>7.8016332839208502E-2</v>
      </c>
      <c r="R17" s="161" t="str">
        <f t="shared" si="1"/>
        <v>%</v>
      </c>
    </row>
    <row r="18" spans="1:18" ht="15" customHeight="1" x14ac:dyDescent="0.25">
      <c r="A18" s="107" t="s">
        <v>121</v>
      </c>
      <c r="B18" s="108">
        <f>0</f>
        <v>0</v>
      </c>
      <c r="C18" s="108">
        <f>0</f>
        <v>0</v>
      </c>
      <c r="D18" s="155" t="str">
        <f t="shared" si="3"/>
        <v>%</v>
      </c>
      <c r="E18" s="108">
        <f>0</f>
        <v>0</v>
      </c>
      <c r="F18" s="155" t="str">
        <f t="shared" si="4"/>
        <v>%</v>
      </c>
      <c r="G18" s="108">
        <f>0</f>
        <v>0</v>
      </c>
      <c r="H18" s="155" t="str">
        <f t="shared" si="4"/>
        <v>%</v>
      </c>
      <c r="I18" s="108">
        <f>0</f>
        <v>0</v>
      </c>
      <c r="J18" s="155" t="str">
        <f t="shared" si="4"/>
        <v>%</v>
      </c>
      <c r="K18" s="108">
        <f>0</f>
        <v>0</v>
      </c>
      <c r="L18" s="155" t="str">
        <f t="shared" si="4"/>
        <v>%</v>
      </c>
      <c r="M18" s="137">
        <f>0</f>
        <v>0</v>
      </c>
      <c r="N18" s="155" t="str">
        <f t="shared" si="4"/>
        <v>%</v>
      </c>
      <c r="O18" s="108">
        <f>0</f>
        <v>0</v>
      </c>
      <c r="P18" s="155" t="str">
        <f t="shared" si="4"/>
        <v>%</v>
      </c>
      <c r="Q18" s="132">
        <f t="shared" ref="Q18:Q23" si="5">IF(O26=0,"%",O26/B26-1)</f>
        <v>0.10945442260075855</v>
      </c>
      <c r="R18" s="161" t="str">
        <f t="shared" si="1"/>
        <v>%</v>
      </c>
    </row>
    <row r="19" spans="1:18" ht="15" customHeight="1" x14ac:dyDescent="0.25">
      <c r="A19" s="107" t="s">
        <v>122</v>
      </c>
      <c r="B19" s="108">
        <f>0</f>
        <v>0</v>
      </c>
      <c r="C19" s="108">
        <f>0</f>
        <v>0</v>
      </c>
      <c r="D19" s="155" t="str">
        <f t="shared" si="3"/>
        <v>%</v>
      </c>
      <c r="E19" s="108">
        <f>0</f>
        <v>0</v>
      </c>
      <c r="F19" s="155" t="str">
        <f t="shared" si="4"/>
        <v>%</v>
      </c>
      <c r="G19" s="108">
        <f>0</f>
        <v>0</v>
      </c>
      <c r="H19" s="155" t="str">
        <f t="shared" si="4"/>
        <v>%</v>
      </c>
      <c r="I19" s="108">
        <f>0</f>
        <v>0</v>
      </c>
      <c r="J19" s="155" t="str">
        <f t="shared" si="4"/>
        <v>%</v>
      </c>
      <c r="K19" s="108">
        <f>0</f>
        <v>0</v>
      </c>
      <c r="L19" s="155" t="str">
        <f t="shared" si="4"/>
        <v>%</v>
      </c>
      <c r="M19" s="137">
        <f>0</f>
        <v>0</v>
      </c>
      <c r="N19" s="155" t="str">
        <f t="shared" si="4"/>
        <v>%</v>
      </c>
      <c r="O19" s="108">
        <f>0</f>
        <v>0</v>
      </c>
      <c r="P19" s="155" t="str">
        <f t="shared" si="4"/>
        <v>%</v>
      </c>
      <c r="Q19" s="132" t="str">
        <f t="shared" si="5"/>
        <v>%</v>
      </c>
      <c r="R19" s="161" t="str">
        <f t="shared" si="1"/>
        <v>%</v>
      </c>
    </row>
    <row r="20" spans="1:18" ht="15" customHeight="1" x14ac:dyDescent="0.25">
      <c r="A20" s="107" t="s">
        <v>123</v>
      </c>
      <c r="B20" s="108">
        <f>0</f>
        <v>0</v>
      </c>
      <c r="C20" s="108">
        <f>0</f>
        <v>0</v>
      </c>
      <c r="D20" s="155" t="str">
        <f t="shared" si="3"/>
        <v>%</v>
      </c>
      <c r="E20" s="108">
        <f>0</f>
        <v>0</v>
      </c>
      <c r="F20" s="155" t="str">
        <f t="shared" si="4"/>
        <v>%</v>
      </c>
      <c r="G20" s="108">
        <f>0</f>
        <v>0</v>
      </c>
      <c r="H20" s="155" t="str">
        <f t="shared" si="4"/>
        <v>%</v>
      </c>
      <c r="I20" s="108">
        <f>0</f>
        <v>0</v>
      </c>
      <c r="J20" s="155" t="str">
        <f t="shared" si="4"/>
        <v>%</v>
      </c>
      <c r="K20" s="108">
        <f>0</f>
        <v>0</v>
      </c>
      <c r="L20" s="155" t="str">
        <f t="shared" si="4"/>
        <v>%</v>
      </c>
      <c r="M20" s="137">
        <f>0</f>
        <v>0</v>
      </c>
      <c r="N20" s="155" t="str">
        <f t="shared" si="4"/>
        <v>%</v>
      </c>
      <c r="O20" s="108">
        <f>0</f>
        <v>0</v>
      </c>
      <c r="P20" s="155" t="str">
        <f t="shared" si="4"/>
        <v>%</v>
      </c>
      <c r="Q20" s="132" t="str">
        <f t="shared" si="5"/>
        <v>%</v>
      </c>
      <c r="R20" s="161" t="str">
        <f t="shared" si="1"/>
        <v>%</v>
      </c>
    </row>
    <row r="21" spans="1:18" ht="15" customHeight="1" x14ac:dyDescent="0.25">
      <c r="A21" s="134" t="s">
        <v>124</v>
      </c>
      <c r="B21" s="110">
        <f>SUM(B11,B13,B15,B17,B19)</f>
        <v>5929770</v>
      </c>
      <c r="C21" s="110">
        <f t="shared" ref="C21:G21" si="6">SUM(C11,C13,C15,C17,C19)</f>
        <v>4766034</v>
      </c>
      <c r="D21" s="155">
        <f t="shared" si="3"/>
        <v>-0.19625314303927466</v>
      </c>
      <c r="E21" s="110">
        <f t="shared" si="6"/>
        <v>4766034</v>
      </c>
      <c r="F21" s="155">
        <f t="shared" si="4"/>
        <v>0</v>
      </c>
      <c r="G21" s="110">
        <f t="shared" si="6"/>
        <v>4766034</v>
      </c>
      <c r="H21" s="155">
        <f t="shared" si="4"/>
        <v>0</v>
      </c>
      <c r="I21" s="110">
        <f t="shared" ref="I21:O21" si="7">SUM(I11,I13,I15,I17,I19)</f>
        <v>4766034</v>
      </c>
      <c r="J21" s="155">
        <f t="shared" si="4"/>
        <v>0</v>
      </c>
      <c r="K21" s="110">
        <f t="shared" si="7"/>
        <v>4766034</v>
      </c>
      <c r="L21" s="155">
        <f t="shared" si="4"/>
        <v>0</v>
      </c>
      <c r="M21" s="138">
        <f t="shared" si="7"/>
        <v>4766034</v>
      </c>
      <c r="N21" s="155">
        <f t="shared" si="4"/>
        <v>0</v>
      </c>
      <c r="O21" s="110">
        <f t="shared" si="7"/>
        <v>4766034</v>
      </c>
      <c r="P21" s="155">
        <f t="shared" si="4"/>
        <v>0</v>
      </c>
      <c r="Q21" s="132" t="str">
        <f t="shared" si="5"/>
        <v>%</v>
      </c>
      <c r="R21" s="161">
        <f t="shared" si="1"/>
        <v>-3.0728121965186372E-2</v>
      </c>
    </row>
    <row r="22" spans="1:18" ht="15" customHeight="1" x14ac:dyDescent="0.25">
      <c r="A22" s="134" t="s">
        <v>125</v>
      </c>
      <c r="B22" s="110">
        <f>SUM(B12,B14,B16,B18,B20)</f>
        <v>19530612</v>
      </c>
      <c r="C22" s="110">
        <f t="shared" ref="C22:G22" si="8">SUM(C12,C14,C16,C18,C20)</f>
        <v>24280384.949999999</v>
      </c>
      <c r="D22" s="155">
        <f t="shared" si="3"/>
        <v>0.24319631919368412</v>
      </c>
      <c r="E22" s="110">
        <f t="shared" si="8"/>
        <v>24520384.949999999</v>
      </c>
      <c r="F22" s="155">
        <f t="shared" si="4"/>
        <v>9.8845220326706507E-3</v>
      </c>
      <c r="G22" s="110">
        <f t="shared" si="8"/>
        <v>25684517.949999999</v>
      </c>
      <c r="H22" s="155">
        <f t="shared" si="4"/>
        <v>4.7476130671431305E-2</v>
      </c>
      <c r="I22" s="110">
        <f t="shared" ref="I22:O22" si="9">SUM(I12,I14,I16,I18,I20)</f>
        <v>25684517.949999999</v>
      </c>
      <c r="J22" s="155">
        <f t="shared" si="4"/>
        <v>0</v>
      </c>
      <c r="K22" s="110">
        <f t="shared" si="9"/>
        <v>25684517.949999999</v>
      </c>
      <c r="L22" s="155">
        <f t="shared" si="4"/>
        <v>0</v>
      </c>
      <c r="M22" s="138">
        <f t="shared" si="9"/>
        <v>25684517.949999999</v>
      </c>
      <c r="N22" s="155">
        <f t="shared" si="4"/>
        <v>0</v>
      </c>
      <c r="O22" s="110">
        <f t="shared" si="9"/>
        <v>25684517.949999999</v>
      </c>
      <c r="P22" s="155">
        <f t="shared" si="4"/>
        <v>0</v>
      </c>
      <c r="Q22" s="132" t="str">
        <f t="shared" si="5"/>
        <v>%</v>
      </c>
      <c r="R22" s="161">
        <f t="shared" si="1"/>
        <v>3.9904966631950423E-2</v>
      </c>
    </row>
    <row r="23" spans="1:18" ht="15" customHeight="1" x14ac:dyDescent="0.25">
      <c r="A23" s="109" t="s">
        <v>126</v>
      </c>
      <c r="B23" s="108">
        <v>7559494</v>
      </c>
      <c r="C23" s="108">
        <f>7978258+(2070152-1899152)</f>
        <v>8149258</v>
      </c>
      <c r="D23" s="155">
        <f t="shared" si="3"/>
        <v>7.8016332839208502E-2</v>
      </c>
      <c r="E23" s="108">
        <f>C23</f>
        <v>8149258</v>
      </c>
      <c r="F23" s="155">
        <f t="shared" si="4"/>
        <v>0</v>
      </c>
      <c r="G23" s="108">
        <f>E23</f>
        <v>8149258</v>
      </c>
      <c r="H23" s="155">
        <f t="shared" si="4"/>
        <v>0</v>
      </c>
      <c r="I23" s="108">
        <f>G23</f>
        <v>8149258</v>
      </c>
      <c r="J23" s="155">
        <f t="shared" si="4"/>
        <v>0</v>
      </c>
      <c r="K23" s="108">
        <f>I23</f>
        <v>8149258</v>
      </c>
      <c r="L23" s="155">
        <f t="shared" si="4"/>
        <v>0</v>
      </c>
      <c r="M23" s="137">
        <f>K23</f>
        <v>8149258</v>
      </c>
      <c r="N23" s="155">
        <f t="shared" si="4"/>
        <v>0</v>
      </c>
      <c r="O23" s="108">
        <f>M23</f>
        <v>8149258</v>
      </c>
      <c r="P23" s="155">
        <f t="shared" si="4"/>
        <v>0</v>
      </c>
      <c r="Q23" s="132" t="str">
        <f t="shared" si="5"/>
        <v>%</v>
      </c>
      <c r="R23" s="161">
        <f t="shared" si="1"/>
        <v>1.0789595702220156E-2</v>
      </c>
    </row>
    <row r="24" spans="1:18" ht="15" customHeight="1" x14ac:dyDescent="0.25">
      <c r="A24" s="135" t="s">
        <v>127</v>
      </c>
      <c r="B24" s="110">
        <f>SUM(B7:B20,B23)</f>
        <v>240752170</v>
      </c>
      <c r="C24" s="110">
        <f>SUM(C7:C20,C23)</f>
        <v>256414649.78999999</v>
      </c>
      <c r="D24" s="155">
        <f t="shared" ref="D24" si="10">IF(B24=0,"%",C24/B24-1)</f>
        <v>6.5056442855738306E-2</v>
      </c>
      <c r="E24" s="110">
        <f>SUM(E7:E20,E23)</f>
        <v>265446942.34</v>
      </c>
      <c r="F24" s="155">
        <f t="shared" ref="F24" si="11">IF(C24=0,"%",E24/C24-1)</f>
        <v>3.5225337387693401E-2</v>
      </c>
      <c r="G24" s="110">
        <f>SUM(G7:G20,G23)</f>
        <v>273582307.88</v>
      </c>
      <c r="H24" s="155">
        <f t="shared" ref="H24" si="12">IF(E24=0,"%",G24/E24-1)</f>
        <v>3.0647802789831147E-2</v>
      </c>
      <c r="I24" s="110">
        <f>SUM(I7:I20,I23)</f>
        <v>273582307.88</v>
      </c>
      <c r="J24" s="155">
        <f t="shared" ref="J24" si="13">IF(G24=0,"%",I24/G24-1)</f>
        <v>0</v>
      </c>
      <c r="K24" s="110">
        <f>SUM(K7:K20,K23)</f>
        <v>273582307.88</v>
      </c>
      <c r="L24" s="155">
        <f t="shared" ref="L24" si="14">IF(I24=0,"%",K24/I24-1)</f>
        <v>0</v>
      </c>
      <c r="M24" s="110">
        <f>SUM(M7:M20,M23)</f>
        <v>273582307.88</v>
      </c>
      <c r="N24" s="155">
        <f t="shared" ref="N24" si="15">IF(K24=0,"%",M24/K24-1)</f>
        <v>0</v>
      </c>
      <c r="O24" s="110">
        <f>SUM(O7:O20,O23)</f>
        <v>273582307.88</v>
      </c>
      <c r="P24" s="155">
        <f t="shared" ref="P24" si="16">IF(M24=0,"%",O24/M24-1)</f>
        <v>0</v>
      </c>
      <c r="Q24" s="132" t="str">
        <f t="shared" ref="Q24" si="17">IF(O30=0,"%",O30/B30-1)</f>
        <v>%</v>
      </c>
      <c r="R24" s="161">
        <f t="shared" ref="R24" si="18">IF(B24=0,"%",(O24/B24)^(1/7)-1)</f>
        <v>1.8429836285336565E-2</v>
      </c>
    </row>
    <row r="25" spans="1:18" ht="15" customHeight="1" x14ac:dyDescent="0.25">
      <c r="A25" s="162" t="s">
        <v>128</v>
      </c>
      <c r="B25" s="163">
        <v>69686331</v>
      </c>
      <c r="C25" s="163">
        <f>62148487+7302375+1384198</f>
        <v>70835060</v>
      </c>
      <c r="D25" s="155">
        <f t="shared" ref="D25" si="19">IF(B25=0,"%",C25/B25-1)</f>
        <v>1.6484280109394733E-2</v>
      </c>
      <c r="E25" s="110">
        <f>C25</f>
        <v>70835060</v>
      </c>
      <c r="F25" s="155">
        <f t="shared" ref="F25" si="20">IF(C25=0,"%",E25/C25-1)</f>
        <v>0</v>
      </c>
      <c r="G25" s="110">
        <f>E25</f>
        <v>70835060</v>
      </c>
      <c r="H25" s="155">
        <f t="shared" ref="H25" si="21">IF(E25=0,"%",G25/E25-1)</f>
        <v>0</v>
      </c>
      <c r="I25" s="110">
        <f>G25</f>
        <v>70835060</v>
      </c>
      <c r="J25" s="155">
        <f t="shared" ref="J25" si="22">IF(G25=0,"%",I25/G25-1)</f>
        <v>0</v>
      </c>
      <c r="K25" s="110">
        <f>I25</f>
        <v>70835060</v>
      </c>
      <c r="L25" s="155">
        <f t="shared" ref="L25" si="23">IF(I25=0,"%",K25/I25-1)</f>
        <v>0</v>
      </c>
      <c r="M25" s="110">
        <f>K25</f>
        <v>70835060</v>
      </c>
      <c r="N25" s="155">
        <f t="shared" ref="N25" si="24">IF(K25=0,"%",M25/K25-1)</f>
        <v>0</v>
      </c>
      <c r="O25" s="110">
        <f>M25</f>
        <v>70835060</v>
      </c>
      <c r="P25" s="155">
        <f t="shared" ref="P25" si="25">IF(M25=0,"%",O25/M25-1)</f>
        <v>0</v>
      </c>
      <c r="Q25" s="132" t="str">
        <f t="shared" ref="Q25" si="26">IF(O32=0,"%",O32/B32-1)</f>
        <v>%</v>
      </c>
      <c r="R25" s="161">
        <f t="shared" ref="R25" si="27">IF(B25=0,"%",(O25/B25)^(1/7)-1)</f>
        <v>2.338428332054665E-3</v>
      </c>
    </row>
    <row r="26" spans="1:18" ht="15" customHeight="1" x14ac:dyDescent="0.25">
      <c r="A26" s="135" t="s">
        <v>129</v>
      </c>
      <c r="B26" s="110">
        <f>B25+B24</f>
        <v>310438501</v>
      </c>
      <c r="C26" s="110">
        <f>C25+C24</f>
        <v>327249709.78999996</v>
      </c>
      <c r="D26" s="155">
        <f t="shared" si="3"/>
        <v>5.4153105158821546E-2</v>
      </c>
      <c r="E26" s="110">
        <f>E25+E24</f>
        <v>336282002.34000003</v>
      </c>
      <c r="F26" s="155">
        <f t="shared" si="4"/>
        <v>2.7600612864702612E-2</v>
      </c>
      <c r="G26" s="110">
        <f>G25+G24</f>
        <v>344417367.88</v>
      </c>
      <c r="H26" s="155">
        <f t="shared" si="4"/>
        <v>2.4192093193779129E-2</v>
      </c>
      <c r="I26" s="110">
        <f>I25+I24</f>
        <v>344417367.88</v>
      </c>
      <c r="J26" s="155">
        <f t="shared" si="4"/>
        <v>0</v>
      </c>
      <c r="K26" s="110">
        <f>K25+K24</f>
        <v>344417367.88</v>
      </c>
      <c r="L26" s="155">
        <f t="shared" si="4"/>
        <v>0</v>
      </c>
      <c r="M26" s="110">
        <f>M25+M24</f>
        <v>344417367.88</v>
      </c>
      <c r="N26" s="155">
        <f t="shared" si="4"/>
        <v>0</v>
      </c>
      <c r="O26" s="110">
        <f>O25+O24</f>
        <v>344417367.88</v>
      </c>
      <c r="P26" s="155">
        <f t="shared" si="4"/>
        <v>0</v>
      </c>
      <c r="Q26" s="132" t="str">
        <f t="shared" si="0"/>
        <v>%</v>
      </c>
      <c r="R26" s="161">
        <f t="shared" si="1"/>
        <v>1.4948975183183055E-2</v>
      </c>
    </row>
    <row r="27" spans="1:18" ht="15" customHeight="1" x14ac:dyDescent="0.25">
      <c r="A27" s="94"/>
      <c r="B27" s="56"/>
      <c r="C27" s="56"/>
      <c r="D27" s="156"/>
      <c r="E27" s="56"/>
      <c r="F27" s="156"/>
      <c r="G27" s="56"/>
      <c r="H27" s="156"/>
      <c r="J27" s="156"/>
      <c r="L27" s="156"/>
      <c r="N27" s="156"/>
      <c r="P27" s="156"/>
    </row>
    <row r="28" spans="1:18" ht="15" customHeight="1" x14ac:dyDescent="0.25">
      <c r="A28" s="94"/>
      <c r="B28" s="56"/>
      <c r="C28" s="56"/>
      <c r="D28" s="156"/>
      <c r="E28" s="56"/>
      <c r="F28" s="156"/>
      <c r="G28" s="56"/>
      <c r="H28" s="156"/>
      <c r="J28" s="156"/>
      <c r="L28" s="156"/>
      <c r="N28" s="156"/>
      <c r="P28" s="156"/>
    </row>
    <row r="29" spans="1:18" ht="15" customHeight="1" x14ac:dyDescent="0.25">
      <c r="A29" s="82"/>
      <c r="B29" s="104" t="s">
        <v>95</v>
      </c>
      <c r="C29" s="104" t="s">
        <v>96</v>
      </c>
      <c r="D29" s="154"/>
      <c r="E29" s="104" t="s">
        <v>97</v>
      </c>
      <c r="F29" s="154"/>
      <c r="G29" s="104" t="s">
        <v>98</v>
      </c>
      <c r="H29" s="154"/>
      <c r="J29"/>
      <c r="L29"/>
      <c r="N29"/>
      <c r="P29"/>
    </row>
    <row r="30" spans="1:18" ht="15" customHeight="1" x14ac:dyDescent="0.25">
      <c r="A30" s="95" t="s">
        <v>130</v>
      </c>
      <c r="B30" s="96" t="s">
        <v>131</v>
      </c>
      <c r="C30" s="96" t="s">
        <v>131</v>
      </c>
      <c r="D30" s="159" t="s">
        <v>104</v>
      </c>
      <c r="E30" s="96" t="s">
        <v>131</v>
      </c>
      <c r="F30" s="159" t="s">
        <v>104</v>
      </c>
      <c r="G30" s="96" t="s">
        <v>131</v>
      </c>
      <c r="H30" s="159" t="s">
        <v>104</v>
      </c>
      <c r="J30"/>
      <c r="L30"/>
      <c r="N30"/>
      <c r="P30"/>
    </row>
    <row r="31" spans="1:18" ht="15" customHeight="1" x14ac:dyDescent="0.25">
      <c r="A31" s="109" t="s">
        <v>132</v>
      </c>
      <c r="B31" s="108">
        <v>27531873.5</v>
      </c>
      <c r="C31" s="108">
        <f>B31*1.039</f>
        <v>28605616.566499997</v>
      </c>
      <c r="D31" s="155">
        <f>IF(B31=0,"%",C31/B31-1)</f>
        <v>3.8999999999999924E-2</v>
      </c>
      <c r="E31" s="108">
        <f>C31*1.03</f>
        <v>29463785.063494999</v>
      </c>
      <c r="F31" s="155">
        <f>IF(C31=0,"%",E31/C31-1)</f>
        <v>3.0000000000000027E-2</v>
      </c>
      <c r="G31" s="108">
        <f>E31*1.03</f>
        <v>30347698.615399849</v>
      </c>
      <c r="H31" s="155">
        <f>IF(E31=0,"%",G31/E31-1)</f>
        <v>3.0000000000000027E-2</v>
      </c>
      <c r="J31"/>
      <c r="L31"/>
      <c r="N31"/>
      <c r="P31"/>
    </row>
    <row r="32" spans="1:18" ht="15" customHeight="1" x14ac:dyDescent="0.25">
      <c r="A32" s="109" t="s">
        <v>133</v>
      </c>
      <c r="B32" s="108">
        <v>21977402.370000001</v>
      </c>
      <c r="C32" s="108">
        <f>B32*1.039</f>
        <v>22834521.062429998</v>
      </c>
      <c r="D32" s="155">
        <f t="shared" ref="D32:D34" si="28">IF(B32=0,"%",C32/B32-1)</f>
        <v>3.8999999999999924E-2</v>
      </c>
      <c r="E32" s="108">
        <f>C32*1.03</f>
        <v>23519556.694302898</v>
      </c>
      <c r="F32" s="155">
        <f t="shared" ref="F32:H34" si="29">IF(C32=0,"%",E32/C32-1)</f>
        <v>3.0000000000000027E-2</v>
      </c>
      <c r="G32" s="108">
        <f>E32*1.03</f>
        <v>24225143.395131987</v>
      </c>
      <c r="H32" s="155">
        <f t="shared" si="29"/>
        <v>3.0000000000000027E-2</v>
      </c>
      <c r="J32"/>
      <c r="L32"/>
      <c r="N32"/>
      <c r="P32"/>
    </row>
    <row r="33" spans="1:16" ht="15" customHeight="1" x14ac:dyDescent="0.25">
      <c r="A33" s="134" t="s">
        <v>134</v>
      </c>
      <c r="B33" s="110">
        <f>B32+B31</f>
        <v>49509275.870000005</v>
      </c>
      <c r="C33" s="110">
        <f>C32+C31</f>
        <v>51440137.628929995</v>
      </c>
      <c r="D33" s="155">
        <f t="shared" si="28"/>
        <v>3.8999999999999702E-2</v>
      </c>
      <c r="E33" s="110">
        <f t="shared" ref="E33:G33" si="30">E32+E31</f>
        <v>52983341.757797897</v>
      </c>
      <c r="F33" s="155">
        <f t="shared" si="29"/>
        <v>3.0000000000000027E-2</v>
      </c>
      <c r="G33" s="110">
        <f t="shared" si="30"/>
        <v>54572842.010531835</v>
      </c>
      <c r="H33" s="155">
        <f t="shared" si="29"/>
        <v>3.0000000000000027E-2</v>
      </c>
      <c r="J33"/>
      <c r="L33"/>
      <c r="N33"/>
      <c r="P33"/>
    </row>
    <row r="34" spans="1:16" ht="15" customHeight="1" x14ac:dyDescent="0.25">
      <c r="A34" s="111" t="s">
        <v>135</v>
      </c>
      <c r="B34" s="108">
        <f>120887760.5+6759834.12</f>
        <v>127647594.62</v>
      </c>
      <c r="C34" s="108">
        <f>122930200+4972130+6760000</f>
        <v>134662330</v>
      </c>
      <c r="D34" s="155">
        <f t="shared" si="28"/>
        <v>5.4953917470066616E-2</v>
      </c>
      <c r="E34" s="108">
        <f>C34+(E33-C33)+4000000</f>
        <v>140205534.12886789</v>
      </c>
      <c r="F34" s="155">
        <f t="shared" si="29"/>
        <v>4.116373249198868E-2</v>
      </c>
      <c r="G34" s="108">
        <f>E34+(G33-E33)+3500000</f>
        <v>145295034.38160184</v>
      </c>
      <c r="H34" s="155">
        <f t="shared" si="29"/>
        <v>3.6300280758218895E-2</v>
      </c>
      <c r="J34"/>
      <c r="L34"/>
      <c r="N34"/>
      <c r="P34"/>
    </row>
    <row r="35" spans="1:16" ht="15" customHeight="1" x14ac:dyDescent="0.25">
      <c r="A35" s="97"/>
      <c r="B35" s="56"/>
      <c r="C35" s="56"/>
      <c r="D35" s="157"/>
      <c r="E35" s="56"/>
      <c r="F35" s="157"/>
      <c r="G35" s="56"/>
      <c r="H35" s="157"/>
      <c r="J35" s="157"/>
      <c r="L35" s="157"/>
      <c r="N35" s="157"/>
      <c r="P35" s="157"/>
    </row>
  </sheetData>
  <sheetProtection selectLockedCells="1"/>
  <mergeCells count="4">
    <mergeCell ref="A2:G2"/>
    <mergeCell ref="A4:A5"/>
    <mergeCell ref="A3:G3"/>
    <mergeCell ref="I3:O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G13:G20 B13:C20 E13:E20" unlockedFormula="1"/>
    <ignoredError sqref="B33 G33 E33"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11"/>
  <sheetViews>
    <sheetView topLeftCell="A19" zoomScaleNormal="100" workbookViewId="0">
      <selection activeCell="C1" sqref="C1"/>
    </sheetView>
  </sheetViews>
  <sheetFormatPr defaultColWidth="9.109375" defaultRowHeight="13.2" x14ac:dyDescent="0.25"/>
  <cols>
    <col min="1" max="1" width="31.109375" style="8" customWidth="1"/>
    <col min="2" max="5" width="17.5546875" style="8" customWidth="1"/>
    <col min="6" max="8" width="15.5546875" style="8" customWidth="1"/>
    <col min="9" max="9" width="15.5546875" style="143" customWidth="1"/>
    <col min="10" max="10" width="12.109375" style="8" bestFit="1" customWidth="1"/>
    <col min="11" max="12" width="9.109375" style="8"/>
    <col min="13" max="13" width="11.44140625" style="8" bestFit="1" customWidth="1"/>
    <col min="14" max="16384" width="9.109375" style="8"/>
  </cols>
  <sheetData>
    <row r="1" spans="1:13" ht="20.100000000000001" customHeight="1" x14ac:dyDescent="0.25">
      <c r="A1" s="57" t="s">
        <v>136</v>
      </c>
      <c r="B1" s="57"/>
      <c r="C1" s="57"/>
      <c r="D1" s="57"/>
      <c r="E1" s="57"/>
    </row>
    <row r="2" spans="1:13" ht="20.100000000000001" customHeight="1" x14ac:dyDescent="0.25">
      <c r="A2" s="450" t="str">
        <f>'Institution ID'!C3</f>
        <v>William &amp; Mary</v>
      </c>
      <c r="B2" s="450"/>
      <c r="C2" s="450"/>
      <c r="D2" s="450"/>
      <c r="E2" s="450"/>
    </row>
    <row r="3" spans="1:13" s="7" customFormat="1" ht="70.5" customHeight="1" x14ac:dyDescent="0.25">
      <c r="A3" s="458" t="s">
        <v>137</v>
      </c>
      <c r="B3" s="459"/>
      <c r="C3" s="459"/>
      <c r="D3" s="459"/>
      <c r="E3" s="459"/>
      <c r="F3" s="459"/>
      <c r="G3" s="459"/>
      <c r="H3" s="459"/>
      <c r="I3" s="144"/>
    </row>
    <row r="4" spans="1:13" s="7" customFormat="1" ht="41.4" customHeight="1" x14ac:dyDescent="0.25">
      <c r="A4" s="458" t="s">
        <v>138</v>
      </c>
      <c r="B4" s="459"/>
      <c r="C4" s="459"/>
      <c r="D4" s="459"/>
      <c r="E4" s="459"/>
      <c r="F4" s="459"/>
      <c r="G4" s="459"/>
      <c r="H4" s="459"/>
      <c r="I4" s="144"/>
    </row>
    <row r="5" spans="1:13" s="10" customFormat="1" ht="38.1" customHeight="1" x14ac:dyDescent="0.25">
      <c r="A5" s="460" t="s">
        <v>139</v>
      </c>
      <c r="B5" s="461"/>
      <c r="C5" s="461"/>
      <c r="D5" s="461"/>
      <c r="E5" s="461"/>
      <c r="F5" s="461"/>
      <c r="G5" s="461"/>
      <c r="H5" s="461"/>
      <c r="I5" s="145"/>
    </row>
    <row r="6" spans="1:13" s="10" customFormat="1" ht="20.100000000000001" customHeight="1" x14ac:dyDescent="0.4">
      <c r="A6" s="462" t="s">
        <v>140</v>
      </c>
      <c r="B6" s="463"/>
      <c r="C6" s="463"/>
      <c r="D6" s="463"/>
      <c r="E6" s="463"/>
      <c r="F6" s="463"/>
      <c r="G6" s="385"/>
      <c r="H6" s="385"/>
      <c r="I6" s="146"/>
    </row>
    <row r="7" spans="1:13" s="10" customFormat="1" ht="15" customHeight="1" x14ac:dyDescent="0.25">
      <c r="A7" s="441" t="s">
        <v>141</v>
      </c>
      <c r="B7" s="441"/>
      <c r="C7" s="441"/>
      <c r="D7" s="441"/>
      <c r="E7" s="441"/>
      <c r="F7" s="441"/>
      <c r="G7" s="441"/>
      <c r="H7" s="441"/>
      <c r="I7" s="147"/>
    </row>
    <row r="8" spans="1:13" s="10" customFormat="1" ht="15" customHeight="1" x14ac:dyDescent="0.25">
      <c r="A8" s="442" t="s">
        <v>142</v>
      </c>
      <c r="B8" s="444" t="s">
        <v>143</v>
      </c>
      <c r="C8" s="444" t="s">
        <v>144</v>
      </c>
      <c r="D8" s="435" t="s">
        <v>145</v>
      </c>
      <c r="E8" s="444" t="s">
        <v>146</v>
      </c>
      <c r="F8" s="444" t="s">
        <v>147</v>
      </c>
      <c r="G8" s="454" t="s">
        <v>148</v>
      </c>
      <c r="H8" s="455" t="s">
        <v>149</v>
      </c>
      <c r="I8" s="428" t="s">
        <v>150</v>
      </c>
    </row>
    <row r="9" spans="1:13" s="10" customFormat="1" ht="16.350000000000001" customHeight="1" thickBot="1" x14ac:dyDescent="0.3">
      <c r="A9" s="442"/>
      <c r="B9" s="445"/>
      <c r="C9" s="445"/>
      <c r="D9" s="435"/>
      <c r="E9" s="445"/>
      <c r="F9" s="445"/>
      <c r="G9" s="455"/>
      <c r="H9" s="455"/>
      <c r="I9" s="429"/>
    </row>
    <row r="10" spans="1:13" s="10" customFormat="1" ht="16.350000000000001" customHeight="1" x14ac:dyDescent="0.25">
      <c r="A10" s="442"/>
      <c r="B10" s="434"/>
      <c r="C10" s="434"/>
      <c r="D10" s="435"/>
      <c r="E10" s="434"/>
      <c r="F10" s="434"/>
      <c r="G10" s="456"/>
      <c r="H10" s="456"/>
      <c r="I10" s="429"/>
      <c r="J10" s="451" t="s">
        <v>151</v>
      </c>
      <c r="K10" s="438"/>
    </row>
    <row r="11" spans="1:13" s="10" customFormat="1" ht="16.350000000000001" customHeight="1" thickBot="1" x14ac:dyDescent="0.3">
      <c r="A11" s="443"/>
      <c r="B11" s="446"/>
      <c r="C11" s="446"/>
      <c r="D11" s="436"/>
      <c r="E11" s="446"/>
      <c r="F11" s="446"/>
      <c r="G11" s="457"/>
      <c r="H11" s="457"/>
      <c r="I11" s="430"/>
      <c r="J11" s="452" t="s">
        <v>152</v>
      </c>
      <c r="K11" s="440"/>
    </row>
    <row r="12" spans="1:13" s="10" customFormat="1" ht="16.350000000000001" customHeight="1" x14ac:dyDescent="0.25">
      <c r="A12" s="32" t="s">
        <v>110</v>
      </c>
      <c r="B12" s="37">
        <f>+'2-Revenue'!B7</f>
        <v>76397784</v>
      </c>
      <c r="C12" s="33">
        <f>ROUND(($E$12+$E$13)*(B12/($B$12+$B$13)),-2)</f>
        <v>13634400</v>
      </c>
      <c r="D12" s="83">
        <f t="shared" ref="D12:D18" si="0">IF(C12=0,"%",C12/B12)</f>
        <v>0.17846590943004315</v>
      </c>
      <c r="E12" s="33">
        <f>23157223.48+8000</f>
        <v>23165223.48</v>
      </c>
      <c r="F12" s="33">
        <f>514000+448904</f>
        <v>962904</v>
      </c>
      <c r="G12" s="89">
        <v>2215310.48</v>
      </c>
      <c r="H12" s="139">
        <f>B12+F12+G12</f>
        <v>79575998.480000004</v>
      </c>
      <c r="I12" s="148">
        <f>IF(H12=0,"%",(F12+G12)/H12)</f>
        <v>3.9939360368802496E-2</v>
      </c>
      <c r="J12" s="84">
        <f>(C12+C14+C16)-(E12+E14+E16)</f>
        <v>-8279947.1099999994</v>
      </c>
      <c r="K12" s="85" t="str">
        <f>IF(J12&gt;0,"WARNING: IS subsidizing OS","Compliant")</f>
        <v>Compliant</v>
      </c>
      <c r="M12" s="88"/>
    </row>
    <row r="13" spans="1:13" s="10" customFormat="1" ht="15" customHeight="1" x14ac:dyDescent="0.25">
      <c r="A13" s="34" t="s">
        <v>111</v>
      </c>
      <c r="B13" s="38">
        <f>+'2-Revenue'!B8</f>
        <v>92055134</v>
      </c>
      <c r="C13" s="33">
        <f>ROUND(($E$12+$E$13)*(B13/($B$12+$B$13)),-2)</f>
        <v>16428700</v>
      </c>
      <c r="D13" s="83">
        <f t="shared" si="0"/>
        <v>0.17846587459206784</v>
      </c>
      <c r="E13" s="33">
        <f>6879814.5+18000</f>
        <v>6897814.5</v>
      </c>
      <c r="F13" s="33">
        <v>47096</v>
      </c>
      <c r="G13" s="89">
        <v>4008</v>
      </c>
      <c r="H13" s="140">
        <f t="shared" ref="H13:H17" si="1">B13+F13+G13</f>
        <v>92106238</v>
      </c>
      <c r="I13" s="148">
        <f t="shared" ref="I13:I18" si="2">IF(H13=0,"%",(F13+G13)/H13)</f>
        <v>5.5483755617073401E-4</v>
      </c>
      <c r="M13" s="88"/>
    </row>
    <row r="14" spans="1:13" s="10" customFormat="1" ht="15" customHeight="1" x14ac:dyDescent="0.25">
      <c r="A14" s="34" t="s">
        <v>112</v>
      </c>
      <c r="B14" s="38">
        <f>+'2-Revenue'!B9</f>
        <v>17890955</v>
      </c>
      <c r="C14" s="33">
        <f>ROUND(($E$14+$E$15)*(B14/($B$14+$B$15)),-2)</f>
        <v>2121200</v>
      </c>
      <c r="D14" s="83">
        <f t="shared" si="0"/>
        <v>0.11856270389143564</v>
      </c>
      <c r="E14" s="33">
        <v>1124431.6299999999</v>
      </c>
      <c r="F14" s="33">
        <v>263531</v>
      </c>
      <c r="G14" s="89">
        <f>1247765.8+56413.83</f>
        <v>1304179.6300000001</v>
      </c>
      <c r="H14" s="140">
        <f t="shared" si="1"/>
        <v>19458665.629999999</v>
      </c>
      <c r="I14" s="148">
        <f t="shared" si="2"/>
        <v>8.0566193993436758E-2</v>
      </c>
      <c r="M14" s="88"/>
    </row>
    <row r="15" spans="1:13" s="10" customFormat="1" ht="15" customHeight="1" x14ac:dyDescent="0.25">
      <c r="A15" s="34" t="s">
        <v>113</v>
      </c>
      <c r="B15" s="38">
        <f>+'2-Revenue'!B10</f>
        <v>21388421</v>
      </c>
      <c r="C15" s="33">
        <f>ROUND(($E$14+$E$15)*(B15/($B$14+$B$15)),-2)</f>
        <v>2535800</v>
      </c>
      <c r="D15" s="83">
        <f t="shared" si="0"/>
        <v>0.11855947664392803</v>
      </c>
      <c r="E15" s="33">
        <v>3532540.95</v>
      </c>
      <c r="F15" s="33">
        <v>1390676</v>
      </c>
      <c r="G15" s="89">
        <f>4674241+714620.47</f>
        <v>5388861.4699999997</v>
      </c>
      <c r="H15" s="140">
        <f t="shared" si="1"/>
        <v>28167958.469999999</v>
      </c>
      <c r="I15" s="148">
        <f>IF(H15=0,"%",(F15+G15)/H15)</f>
        <v>0.24068259960055244</v>
      </c>
      <c r="M15" s="88"/>
    </row>
    <row r="16" spans="1:13" s="10" customFormat="1" ht="15" customHeight="1" x14ac:dyDescent="0.25">
      <c r="A16" s="34" t="s">
        <v>153</v>
      </c>
      <c r="B16" s="38">
        <f>+SUM('2-Revenue'!B11+'2-Revenue'!B13+'2-Revenue'!B15+'2-Revenue'!B17+'2-Revenue'!B19)</f>
        <v>5929770</v>
      </c>
      <c r="C16" s="33">
        <f>ROUND(($E$16+$E$17)*(B16/($B$16+$B$17)),-2)</f>
        <v>2538600</v>
      </c>
      <c r="D16" s="83">
        <f t="shared" si="0"/>
        <v>0.4281110397199217</v>
      </c>
      <c r="E16" s="33">
        <v>2284492</v>
      </c>
      <c r="F16" s="33">
        <f>0</f>
        <v>0</v>
      </c>
      <c r="G16" s="89">
        <v>163238</v>
      </c>
      <c r="H16" s="140">
        <f t="shared" si="1"/>
        <v>6093008</v>
      </c>
      <c r="I16" s="148">
        <f t="shared" si="2"/>
        <v>2.6791036545496083E-2</v>
      </c>
      <c r="M16" s="88"/>
    </row>
    <row r="17" spans="1:13" s="10" customFormat="1" ht="15" customHeight="1" x14ac:dyDescent="0.25">
      <c r="A17" s="35" t="s">
        <v>154</v>
      </c>
      <c r="B17" s="38">
        <f>+SUM('2-Revenue'!B12+'2-Revenue'!B14+'2-Revenue'!B16+'2-Revenue'!B18+'2-Revenue'!B20)</f>
        <v>19530612</v>
      </c>
      <c r="C17" s="33">
        <f>ROUND(($E$16+$E$17)*(B17/($B$16+$B$17)),-2)</f>
        <v>8361200</v>
      </c>
      <c r="D17" s="86">
        <f t="shared" si="0"/>
        <v>0.42810742438588201</v>
      </c>
      <c r="E17" s="33">
        <v>8615250</v>
      </c>
      <c r="F17" s="33">
        <f>0</f>
        <v>0</v>
      </c>
      <c r="G17" s="89">
        <v>7603</v>
      </c>
      <c r="H17" s="141">
        <f t="shared" si="1"/>
        <v>19538215</v>
      </c>
      <c r="I17" s="148">
        <f t="shared" si="2"/>
        <v>3.8913483140604196E-4</v>
      </c>
      <c r="M17" s="88"/>
    </row>
    <row r="18" spans="1:13" s="10" customFormat="1" ht="15" customHeight="1" thickBot="1" x14ac:dyDescent="0.3">
      <c r="A18" s="36" t="s">
        <v>155</v>
      </c>
      <c r="B18" s="39">
        <f>SUM(B12:B17)</f>
        <v>233192676</v>
      </c>
      <c r="C18" s="39">
        <f t="shared" ref="C18:G18" si="3">SUM(C12:C17)</f>
        <v>45619900</v>
      </c>
      <c r="D18" s="87">
        <f t="shared" si="0"/>
        <v>0.19563178733795225</v>
      </c>
      <c r="E18" s="39">
        <f t="shared" si="3"/>
        <v>45619752.560000002</v>
      </c>
      <c r="F18" s="39">
        <f t="shared" si="3"/>
        <v>2664207</v>
      </c>
      <c r="G18" s="39">
        <f t="shared" si="3"/>
        <v>9083200.5800000001</v>
      </c>
      <c r="H18" s="142">
        <f t="shared" ref="H18" si="4">SUM(H12:H17)</f>
        <v>244940083.58000001</v>
      </c>
      <c r="I18" s="149">
        <f t="shared" si="2"/>
        <v>4.7960331393302448E-2</v>
      </c>
      <c r="M18" s="88"/>
    </row>
    <row r="19" spans="1:13" s="10" customFormat="1" ht="15" customHeight="1" x14ac:dyDescent="0.25">
      <c r="A19" s="453"/>
      <c r="B19" s="453"/>
      <c r="C19" s="453"/>
      <c r="D19" s="453"/>
      <c r="E19" s="453"/>
      <c r="I19" s="150"/>
    </row>
    <row r="20" spans="1:13" s="10" customFormat="1" ht="15" customHeight="1" x14ac:dyDescent="0.25">
      <c r="A20" s="441" t="s">
        <v>156</v>
      </c>
      <c r="B20" s="441"/>
      <c r="C20" s="441"/>
      <c r="D20" s="441"/>
      <c r="E20" s="441"/>
      <c r="F20" s="441"/>
      <c r="G20" s="441"/>
      <c r="H20" s="441"/>
      <c r="I20" s="147"/>
    </row>
    <row r="21" spans="1:13" ht="15" customHeight="1" x14ac:dyDescent="0.25">
      <c r="A21" s="442" t="s">
        <v>142</v>
      </c>
      <c r="B21" s="444" t="s">
        <v>143</v>
      </c>
      <c r="C21" s="444" t="s">
        <v>144</v>
      </c>
      <c r="D21" s="435" t="s">
        <v>145</v>
      </c>
      <c r="E21" s="444" t="s">
        <v>146</v>
      </c>
      <c r="F21" s="444" t="s">
        <v>147</v>
      </c>
      <c r="G21" s="444" t="s">
        <v>148</v>
      </c>
      <c r="H21" s="445" t="s">
        <v>149</v>
      </c>
      <c r="I21" s="428" t="s">
        <v>150</v>
      </c>
    </row>
    <row r="22" spans="1:13" s="10" customFormat="1" ht="15" customHeight="1" thickBot="1" x14ac:dyDescent="0.3">
      <c r="A22" s="442"/>
      <c r="B22" s="445"/>
      <c r="C22" s="445"/>
      <c r="D22" s="435"/>
      <c r="E22" s="445"/>
      <c r="F22" s="445"/>
      <c r="G22" s="445"/>
      <c r="H22" s="445"/>
      <c r="I22" s="429"/>
    </row>
    <row r="23" spans="1:13" s="10" customFormat="1" ht="16.350000000000001" customHeight="1" x14ac:dyDescent="0.25">
      <c r="A23" s="442"/>
      <c r="B23" s="434"/>
      <c r="C23" s="434"/>
      <c r="D23" s="435"/>
      <c r="E23" s="434"/>
      <c r="F23" s="434"/>
      <c r="G23" s="434"/>
      <c r="H23" s="434"/>
      <c r="I23" s="429"/>
      <c r="J23" s="437" t="s">
        <v>151</v>
      </c>
      <c r="K23" s="438"/>
    </row>
    <row r="24" spans="1:13" s="10" customFormat="1" ht="16.350000000000001" customHeight="1" thickBot="1" x14ac:dyDescent="0.3">
      <c r="A24" s="443"/>
      <c r="B24" s="446"/>
      <c r="C24" s="446"/>
      <c r="D24" s="436"/>
      <c r="E24" s="446"/>
      <c r="F24" s="446"/>
      <c r="G24" s="446"/>
      <c r="H24" s="446"/>
      <c r="I24" s="430"/>
      <c r="J24" s="439" t="s">
        <v>152</v>
      </c>
      <c r="K24" s="440"/>
    </row>
    <row r="25" spans="1:13" s="10" customFormat="1" ht="16.350000000000001" customHeight="1" x14ac:dyDescent="0.25">
      <c r="A25" s="32" t="s">
        <v>110</v>
      </c>
      <c r="B25" s="37">
        <f>+'2-Revenue'!C7</f>
        <v>80002231</v>
      </c>
      <c r="C25" s="33">
        <f>ROUND(($E$25+$E$26)*(B25/($B$25+$B$26)),-2)</f>
        <v>16167000</v>
      </c>
      <c r="D25" s="83">
        <f t="shared" ref="D25:D31" si="5">IF(C25=0,"%",C25/B25)</f>
        <v>0.20208186444200538</v>
      </c>
      <c r="E25" s="33">
        <v>29176519</v>
      </c>
      <c r="F25" s="33">
        <v>1004597</v>
      </c>
      <c r="G25" s="33">
        <v>2319430</v>
      </c>
      <c r="H25" s="91">
        <f>B25+F25+G25</f>
        <v>83326258</v>
      </c>
      <c r="I25" s="148">
        <f>IF(H25=0,"%",(F25+G25)/H25)</f>
        <v>3.9891710965827845E-2</v>
      </c>
      <c r="J25" s="84">
        <f>(C25+C27+C29)-(E25+E27+E29)</f>
        <v>-12463153</v>
      </c>
      <c r="K25" s="85" t="str">
        <f>IF(J25&gt;0,"WARNING: IS subsidizing OS","Compliant")</f>
        <v>Compliant</v>
      </c>
    </row>
    <row r="26" spans="1:13" s="10" customFormat="1" ht="16.350000000000001" customHeight="1" x14ac:dyDescent="0.25">
      <c r="A26" s="34" t="s">
        <v>111</v>
      </c>
      <c r="B26" s="38">
        <f>+'2-Revenue'!C8</f>
        <v>99744963</v>
      </c>
      <c r="C26" s="33">
        <f>ROUND(($E$25+$E$26)*(B26/($B$25+$B$26)),-2)</f>
        <v>20156600</v>
      </c>
      <c r="D26" s="83">
        <f t="shared" si="5"/>
        <v>0.20208138229496361</v>
      </c>
      <c r="E26" s="33">
        <v>7147029</v>
      </c>
      <c r="F26" s="33">
        <v>52975</v>
      </c>
      <c r="G26" s="33">
        <v>4204</v>
      </c>
      <c r="H26" s="92">
        <f t="shared" ref="H26:H30" si="6">B26+F26+G26</f>
        <v>99802142</v>
      </c>
      <c r="I26" s="148">
        <f t="shared" ref="I26:I31" si="7">IF(H26=0,"%",(F26+G26)/H26)</f>
        <v>5.7292357512727537E-4</v>
      </c>
    </row>
    <row r="27" spans="1:13" s="10" customFormat="1" ht="15" customHeight="1" x14ac:dyDescent="0.25">
      <c r="A27" s="34" t="s">
        <v>112</v>
      </c>
      <c r="B27" s="38">
        <f>+'2-Revenue'!C9</f>
        <v>17890955</v>
      </c>
      <c r="C27" s="33">
        <f>ROUND(($E$27+$E$28)*(B27/($B$27+$B$28)),-2)</f>
        <v>2232600</v>
      </c>
      <c r="D27" s="83">
        <f t="shared" si="5"/>
        <v>0.12478931392986009</v>
      </c>
      <c r="E27" s="33">
        <v>1139862</v>
      </c>
      <c r="F27" s="33">
        <v>311209</v>
      </c>
      <c r="G27" s="33">
        <v>1352435</v>
      </c>
      <c r="H27" s="92">
        <f t="shared" si="6"/>
        <v>19554599</v>
      </c>
      <c r="I27" s="148">
        <f t="shared" si="7"/>
        <v>8.5076866061022272E-2</v>
      </c>
    </row>
    <row r="28" spans="1:13" s="10" customFormat="1" ht="15" customHeight="1" x14ac:dyDescent="0.25">
      <c r="A28" s="34" t="s">
        <v>113</v>
      </c>
      <c r="B28" s="38">
        <f>+'2-Revenue'!C10</f>
        <v>21580823.84</v>
      </c>
      <c r="C28" s="33">
        <f>ROUND(($E$27+$E$28)*(B28/($B$27+$B$28)),-2)</f>
        <v>2693000</v>
      </c>
      <c r="D28" s="83">
        <f t="shared" si="5"/>
        <v>0.12478670971812168</v>
      </c>
      <c r="E28" s="33">
        <v>3785744</v>
      </c>
      <c r="F28" s="33">
        <f>1261334+254069+61677</f>
        <v>1577080</v>
      </c>
      <c r="G28" s="33">
        <v>5714222</v>
      </c>
      <c r="H28" s="92">
        <f t="shared" si="6"/>
        <v>28872125.84</v>
      </c>
      <c r="I28" s="148">
        <f t="shared" si="7"/>
        <v>0.25253776048241278</v>
      </c>
    </row>
    <row r="29" spans="1:13" s="10" customFormat="1" ht="15" customHeight="1" x14ac:dyDescent="0.25">
      <c r="A29" s="34" t="s">
        <v>153</v>
      </c>
      <c r="B29" s="38">
        <f>+SUM('2-Revenue'!C11+'2-Revenue'!C13+'2-Revenue'!C15+'2-Revenue'!C17+'2-Revenue'!C19)</f>
        <v>4766034</v>
      </c>
      <c r="C29" s="33">
        <f>ROUND(($E$29+$E$30)*(B29/($B$29+$B$30)),-2)</f>
        <v>1970000</v>
      </c>
      <c r="D29" s="83">
        <f t="shared" si="5"/>
        <v>0.41334157498666607</v>
      </c>
      <c r="E29" s="33">
        <v>2516372</v>
      </c>
      <c r="F29" s="33">
        <f>0</f>
        <v>0</v>
      </c>
      <c r="G29" s="33">
        <v>155862</v>
      </c>
      <c r="H29" s="92">
        <f t="shared" si="6"/>
        <v>4921896</v>
      </c>
      <c r="I29" s="148">
        <f t="shared" si="7"/>
        <v>3.1667064887189816E-2</v>
      </c>
    </row>
    <row r="30" spans="1:13" s="10" customFormat="1" ht="15" customHeight="1" x14ac:dyDescent="0.25">
      <c r="A30" s="35" t="s">
        <v>154</v>
      </c>
      <c r="B30" s="38">
        <f>+SUM('2-Revenue'!C12+'2-Revenue'!C14+'2-Revenue'!C16+'2-Revenue'!C18+'2-Revenue'!C20)</f>
        <v>24280384.949999999</v>
      </c>
      <c r="C30" s="33">
        <f>ROUND(($E$29+$E$30)*(B30/($B$29+$B$30)),-2)</f>
        <v>10036100</v>
      </c>
      <c r="D30" s="86">
        <f t="shared" si="5"/>
        <v>0.41334188155035823</v>
      </c>
      <c r="E30" s="33">
        <v>9489714</v>
      </c>
      <c r="F30" s="33">
        <f>0</f>
        <v>0</v>
      </c>
      <c r="G30" s="33">
        <v>7603</v>
      </c>
      <c r="H30" s="93">
        <f t="shared" si="6"/>
        <v>24287987.949999999</v>
      </c>
      <c r="I30" s="148">
        <f t="shared" si="7"/>
        <v>3.1303539904794792E-4</v>
      </c>
    </row>
    <row r="31" spans="1:13" s="10" customFormat="1" ht="15" customHeight="1" x14ac:dyDescent="0.25">
      <c r="A31" s="36" t="s">
        <v>155</v>
      </c>
      <c r="B31" s="41">
        <f>SUM(B25:B30)</f>
        <v>248265391.78999999</v>
      </c>
      <c r="C31" s="41">
        <f t="shared" ref="C31:H31" si="8">SUM(C25:C30)</f>
        <v>53255300</v>
      </c>
      <c r="D31" s="87">
        <f t="shared" si="5"/>
        <v>0.21450956017682485</v>
      </c>
      <c r="E31" s="41">
        <f t="shared" si="8"/>
        <v>53255240</v>
      </c>
      <c r="F31" s="39">
        <f t="shared" si="8"/>
        <v>2945861</v>
      </c>
      <c r="G31" s="39">
        <f t="shared" si="8"/>
        <v>9553756</v>
      </c>
      <c r="H31" s="90">
        <f t="shared" si="8"/>
        <v>260765008.78999999</v>
      </c>
      <c r="I31" s="149">
        <f t="shared" si="7"/>
        <v>4.7934410594429967E-2</v>
      </c>
    </row>
    <row r="32" spans="1:13" s="10" customFormat="1" ht="15" customHeight="1" x14ac:dyDescent="0.25">
      <c r="A32" s="449"/>
      <c r="B32" s="449"/>
      <c r="C32" s="449"/>
      <c r="D32" s="449"/>
      <c r="E32" s="449"/>
      <c r="I32" s="150"/>
    </row>
    <row r="33" spans="1:11" s="10" customFormat="1" ht="15" customHeight="1" x14ac:dyDescent="0.25">
      <c r="A33" s="441" t="s">
        <v>157</v>
      </c>
      <c r="B33" s="441"/>
      <c r="C33" s="441"/>
      <c r="D33" s="441"/>
      <c r="E33" s="441"/>
      <c r="F33" s="441"/>
      <c r="G33" s="441"/>
      <c r="H33" s="441"/>
      <c r="I33" s="147"/>
    </row>
    <row r="34" spans="1:11" ht="15" customHeight="1" x14ac:dyDescent="0.25">
      <c r="A34" s="442" t="s">
        <v>142</v>
      </c>
      <c r="B34" s="444" t="s">
        <v>143</v>
      </c>
      <c r="C34" s="444" t="s">
        <v>144</v>
      </c>
      <c r="D34" s="435" t="s">
        <v>145</v>
      </c>
      <c r="E34" s="444" t="s">
        <v>146</v>
      </c>
      <c r="F34" s="444" t="s">
        <v>147</v>
      </c>
      <c r="G34" s="444" t="s">
        <v>148</v>
      </c>
      <c r="H34" s="445" t="s">
        <v>149</v>
      </c>
      <c r="I34" s="428" t="s">
        <v>150</v>
      </c>
    </row>
    <row r="35" spans="1:11" ht="12.6" customHeight="1" thickBot="1" x14ac:dyDescent="0.3">
      <c r="A35" s="442"/>
      <c r="B35" s="445"/>
      <c r="C35" s="445"/>
      <c r="D35" s="435"/>
      <c r="E35" s="445"/>
      <c r="F35" s="445"/>
      <c r="G35" s="445"/>
      <c r="H35" s="445"/>
      <c r="I35" s="429"/>
      <c r="J35" s="10"/>
    </row>
    <row r="36" spans="1:11" s="10" customFormat="1" ht="15" customHeight="1" x14ac:dyDescent="0.25">
      <c r="A36" s="442"/>
      <c r="B36" s="434"/>
      <c r="C36" s="434"/>
      <c r="D36" s="435"/>
      <c r="E36" s="434"/>
      <c r="F36" s="434"/>
      <c r="G36" s="434"/>
      <c r="H36" s="434"/>
      <c r="I36" s="429"/>
      <c r="J36" s="437" t="s">
        <v>151</v>
      </c>
      <c r="K36" s="438"/>
    </row>
    <row r="37" spans="1:11" s="10" customFormat="1" ht="16.350000000000001" customHeight="1" thickBot="1" x14ac:dyDescent="0.3">
      <c r="A37" s="443"/>
      <c r="B37" s="446"/>
      <c r="C37" s="446"/>
      <c r="D37" s="436"/>
      <c r="E37" s="446"/>
      <c r="F37" s="446"/>
      <c r="G37" s="446"/>
      <c r="H37" s="446"/>
      <c r="I37" s="430"/>
      <c r="J37" s="439" t="s">
        <v>152</v>
      </c>
      <c r="K37" s="440"/>
    </row>
    <row r="38" spans="1:11" s="10" customFormat="1" ht="16.350000000000001" customHeight="1" x14ac:dyDescent="0.25">
      <c r="A38" s="32" t="s">
        <v>110</v>
      </c>
      <c r="B38" s="37">
        <f>+'2-Revenue'!E7</f>
        <v>81852667.569999993</v>
      </c>
      <c r="C38" s="33">
        <f>ROUND(($E$38+$E$39)*(B38/($B$38+$B$39)),-2)</f>
        <v>17360700</v>
      </c>
      <c r="D38" s="83">
        <f t="shared" ref="D38:D44" si="9">IF(C38=0,"%",C38/B38)</f>
        <v>0.21209693606079749</v>
      </c>
      <c r="E38" s="33">
        <f>E25+3436365+20453</f>
        <v>32633337</v>
      </c>
      <c r="F38" s="33">
        <v>1034734</v>
      </c>
      <c r="G38" s="33">
        <v>2389013</v>
      </c>
      <c r="H38" s="91">
        <f>B38+F38+G38</f>
        <v>85276414.569999993</v>
      </c>
      <c r="I38" s="148">
        <f>IF(H38=0,"%",(F38+G38)/H38)</f>
        <v>4.0148815088720494E-2</v>
      </c>
      <c r="J38" s="84">
        <f>(C38+C40+C42)-(E38+E40+E42)</f>
        <v>-14745971</v>
      </c>
      <c r="K38" s="85" t="str">
        <f>IF(J38&gt;0,"WARNING: IS subsidizing OS","Compliant")</f>
        <v>Compliant</v>
      </c>
    </row>
    <row r="39" spans="1:11" s="10" customFormat="1" ht="16.350000000000001" customHeight="1" x14ac:dyDescent="0.25">
      <c r="A39" s="34" t="s">
        <v>111</v>
      </c>
      <c r="B39" s="40">
        <f>+'2-Revenue'!E8</f>
        <v>106379776.61</v>
      </c>
      <c r="C39" s="33">
        <f>ROUND(($E$38+$E$39)*(B39/($B$38+$B$39)),-2)</f>
        <v>22562800</v>
      </c>
      <c r="D39" s="83">
        <f t="shared" si="9"/>
        <v>0.21209670408237191</v>
      </c>
      <c r="E39" s="33">
        <f>E26+143182</f>
        <v>7290211</v>
      </c>
      <c r="F39" s="33">
        <v>54564</v>
      </c>
      <c r="G39" s="33">
        <v>4331</v>
      </c>
      <c r="H39" s="92">
        <f t="shared" ref="H39:H43" si="10">B39+F39+G39</f>
        <v>106438671.61</v>
      </c>
      <c r="I39" s="148">
        <f t="shared" ref="I39:I44" si="11">IF(H39=0,"%",(F39+G39)/H39)</f>
        <v>5.5332332797045883E-4</v>
      </c>
    </row>
    <row r="40" spans="1:11" s="10" customFormat="1" ht="16.350000000000001" customHeight="1" x14ac:dyDescent="0.25">
      <c r="A40" s="34" t="s">
        <v>112</v>
      </c>
      <c r="B40" s="40">
        <f>+'2-Revenue'!E9</f>
        <v>18000955</v>
      </c>
      <c r="C40" s="33">
        <f>ROUND(($E$40+$E$41)*(B40/($B$40+$B$41)),-2)</f>
        <v>2229000</v>
      </c>
      <c r="D40" s="83">
        <f t="shared" si="9"/>
        <v>0.123826763635596</v>
      </c>
      <c r="E40" s="33">
        <v>1139862</v>
      </c>
      <c r="F40" s="33">
        <v>319929</v>
      </c>
      <c r="G40" s="33">
        <v>1151995</v>
      </c>
      <c r="H40" s="92">
        <f t="shared" si="10"/>
        <v>19472879</v>
      </c>
      <c r="I40" s="148">
        <f t="shared" si="11"/>
        <v>7.558841196517474E-2</v>
      </c>
    </row>
    <row r="41" spans="1:11" s="10" customFormat="1" ht="15" customHeight="1" x14ac:dyDescent="0.25">
      <c r="A41" s="34" t="s">
        <v>113</v>
      </c>
      <c r="B41" s="40">
        <f>+'2-Revenue'!E10</f>
        <v>21777866.210000001</v>
      </c>
      <c r="C41" s="33">
        <f>ROUND(($E$40+$E$41)*(B41/($B$40+$B$41)),-2)</f>
        <v>2696600</v>
      </c>
      <c r="D41" s="83">
        <f t="shared" si="9"/>
        <v>0.12382296658438328</v>
      </c>
      <c r="E41" s="33">
        <v>3785744</v>
      </c>
      <c r="F41" s="33">
        <v>1624392</v>
      </c>
      <c r="G41" s="33">
        <v>5871465</v>
      </c>
      <c r="H41" s="92">
        <f t="shared" si="10"/>
        <v>29273723.210000001</v>
      </c>
      <c r="I41" s="148">
        <f t="shared" si="11"/>
        <v>0.25606093718339834</v>
      </c>
    </row>
    <row r="42" spans="1:11" s="10" customFormat="1" ht="15" customHeight="1" x14ac:dyDescent="0.25">
      <c r="A42" s="34" t="s">
        <v>153</v>
      </c>
      <c r="B42" s="38">
        <f>+SUM('2-Revenue'!E11+'2-Revenue'!E13+'2-Revenue'!E15+'2-Revenue'!E17+'2-Revenue'!E19)</f>
        <v>4766034</v>
      </c>
      <c r="C42" s="33">
        <f>ROUND(($E$42+$E$43)*(B42/($B$42+$B$43)),-2)</f>
        <v>1953900</v>
      </c>
      <c r="D42" s="83">
        <f t="shared" si="9"/>
        <v>0.40996350424692735</v>
      </c>
      <c r="E42" s="33">
        <v>2516372</v>
      </c>
      <c r="F42" s="33">
        <f>0</f>
        <v>0</v>
      </c>
      <c r="G42" s="33">
        <v>155862</v>
      </c>
      <c r="H42" s="92">
        <f t="shared" si="10"/>
        <v>4921896</v>
      </c>
      <c r="I42" s="148">
        <f t="shared" si="11"/>
        <v>3.1667064887189816E-2</v>
      </c>
    </row>
    <row r="43" spans="1:11" s="10" customFormat="1" ht="15" customHeight="1" x14ac:dyDescent="0.25">
      <c r="A43" s="35" t="s">
        <v>154</v>
      </c>
      <c r="B43" s="38">
        <f>+SUM('2-Revenue'!E12+'2-Revenue'!E14+'2-Revenue'!E16+'2-Revenue'!E18+'2-Revenue'!E20)</f>
        <v>24520384.949999999</v>
      </c>
      <c r="C43" s="33">
        <f>ROUND(($E$42+$E$43)*(B43/($B$42+$B$43)),-2)</f>
        <v>10052200</v>
      </c>
      <c r="D43" s="83">
        <f t="shared" si="9"/>
        <v>0.40995278094114912</v>
      </c>
      <c r="E43" s="33">
        <v>9489714</v>
      </c>
      <c r="F43" s="33">
        <f>0</f>
        <v>0</v>
      </c>
      <c r="G43" s="33">
        <v>7603</v>
      </c>
      <c r="H43" s="93">
        <f t="shared" si="10"/>
        <v>24527987.949999999</v>
      </c>
      <c r="I43" s="148">
        <f t="shared" si="11"/>
        <v>3.0997242886365655E-4</v>
      </c>
    </row>
    <row r="44" spans="1:11" s="10" customFormat="1" ht="15" customHeight="1" thickBot="1" x14ac:dyDescent="0.3">
      <c r="A44" s="36" t="s">
        <v>155</v>
      </c>
      <c r="B44" s="41">
        <f>SUM(B38:B43)</f>
        <v>257297684.34</v>
      </c>
      <c r="C44" s="41">
        <f t="shared" ref="C44:H44" si="12">SUM(C38:C43)</f>
        <v>56855200</v>
      </c>
      <c r="D44" s="87">
        <f t="shared" si="9"/>
        <v>0.22097050793846254</v>
      </c>
      <c r="E44" s="41">
        <f t="shared" si="12"/>
        <v>56855240</v>
      </c>
      <c r="F44" s="39">
        <f t="shared" si="12"/>
        <v>3033619</v>
      </c>
      <c r="G44" s="39">
        <f t="shared" si="12"/>
        <v>9580269</v>
      </c>
      <c r="H44" s="90">
        <f t="shared" si="12"/>
        <v>269911572.34000003</v>
      </c>
      <c r="I44" s="149">
        <f t="shared" si="11"/>
        <v>4.673340935567831E-2</v>
      </c>
    </row>
    <row r="45" spans="1:11" s="10" customFormat="1" ht="15" customHeight="1" x14ac:dyDescent="0.25">
      <c r="A45" s="447"/>
      <c r="B45" s="447"/>
      <c r="C45" s="447"/>
      <c r="D45" s="447"/>
      <c r="E45" s="447"/>
      <c r="F45" s="88"/>
      <c r="G45" s="88"/>
      <c r="I45" s="150"/>
    </row>
    <row r="46" spans="1:11" s="10" customFormat="1" ht="15" customHeight="1" x14ac:dyDescent="0.25">
      <c r="A46" s="441" t="s">
        <v>158</v>
      </c>
      <c r="B46" s="441"/>
      <c r="C46" s="441"/>
      <c r="D46" s="441"/>
      <c r="E46" s="441"/>
      <c r="F46" s="441"/>
      <c r="G46" s="441"/>
      <c r="H46" s="441"/>
      <c r="I46" s="147"/>
    </row>
    <row r="47" spans="1:11" ht="15" customHeight="1" x14ac:dyDescent="0.25">
      <c r="A47" s="442" t="s">
        <v>142</v>
      </c>
      <c r="B47" s="444" t="s">
        <v>143</v>
      </c>
      <c r="C47" s="444" t="s">
        <v>144</v>
      </c>
      <c r="D47" s="435" t="s">
        <v>145</v>
      </c>
      <c r="E47" s="444" t="s">
        <v>146</v>
      </c>
      <c r="F47" s="444" t="s">
        <v>147</v>
      </c>
      <c r="G47" s="444" t="s">
        <v>148</v>
      </c>
      <c r="H47" s="445" t="s">
        <v>149</v>
      </c>
      <c r="I47" s="428" t="s">
        <v>150</v>
      </c>
    </row>
    <row r="48" spans="1:11" ht="15" customHeight="1" thickBot="1" x14ac:dyDescent="0.3">
      <c r="A48" s="442"/>
      <c r="B48" s="445"/>
      <c r="C48" s="445"/>
      <c r="D48" s="435"/>
      <c r="E48" s="445"/>
      <c r="F48" s="445"/>
      <c r="G48" s="445"/>
      <c r="H48" s="445"/>
      <c r="I48" s="429"/>
      <c r="J48" s="10"/>
    </row>
    <row r="49" spans="1:11" ht="15" customHeight="1" x14ac:dyDescent="0.25">
      <c r="A49" s="442"/>
      <c r="B49" s="434"/>
      <c r="C49" s="434"/>
      <c r="D49" s="435"/>
      <c r="E49" s="434"/>
      <c r="F49" s="434"/>
      <c r="G49" s="434"/>
      <c r="H49" s="434"/>
      <c r="I49" s="429"/>
      <c r="J49" s="437" t="s">
        <v>151</v>
      </c>
      <c r="K49" s="438"/>
    </row>
    <row r="50" spans="1:11" ht="15" customHeight="1" thickBot="1" x14ac:dyDescent="0.3">
      <c r="A50" s="443"/>
      <c r="B50" s="446"/>
      <c r="C50" s="446"/>
      <c r="D50" s="436"/>
      <c r="E50" s="446"/>
      <c r="F50" s="446"/>
      <c r="G50" s="446"/>
      <c r="H50" s="446"/>
      <c r="I50" s="430"/>
      <c r="J50" s="439" t="s">
        <v>152</v>
      </c>
      <c r="K50" s="440"/>
    </row>
    <row r="51" spans="1:11" ht="15" x14ac:dyDescent="0.25">
      <c r="A51" s="32" t="s">
        <v>110</v>
      </c>
      <c r="B51" s="37">
        <f>+'2-Revenue'!G7</f>
        <v>84086051</v>
      </c>
      <c r="C51" s="33">
        <f>ROUND(($E$51+$E$52)*(B51/($B$51+$B$52)),-2)</f>
        <v>18954400</v>
      </c>
      <c r="D51" s="83">
        <f t="shared" ref="D51:D57" si="13">IF(C51=0,"%",C51/B51)</f>
        <v>0.22541669842480769</v>
      </c>
      <c r="E51" s="33">
        <f>E38+3592534</f>
        <v>36225871</v>
      </c>
      <c r="F51" s="33">
        <v>1076124</v>
      </c>
      <c r="G51" s="33">
        <v>2484573</v>
      </c>
      <c r="H51" s="91">
        <f>B51+F51+G51</f>
        <v>87646748</v>
      </c>
      <c r="I51" s="148">
        <f>IF(H51=0,"%",(F51+G51)/H51)</f>
        <v>4.0625546084151351E-2</v>
      </c>
      <c r="J51" s="84">
        <f>(C51+C53+C55)-(E51+E53+E55)</f>
        <v>-16814205</v>
      </c>
      <c r="K51" s="85" t="str">
        <f>IF(J51&gt;0,"WARNING: IS subsidizing OS","Compliant")</f>
        <v>Compliant</v>
      </c>
    </row>
    <row r="52" spans="1:11" ht="15" x14ac:dyDescent="0.25">
      <c r="A52" s="34" t="s">
        <v>111</v>
      </c>
      <c r="B52" s="40">
        <f>+'2-Revenue'!G8</f>
        <v>110969663.93000001</v>
      </c>
      <c r="C52" s="33">
        <f>ROUND(($E$51+$E$52)*(B52/($B$51+$B$52)),-2)</f>
        <v>25014400</v>
      </c>
      <c r="D52" s="83">
        <f t="shared" si="13"/>
        <v>0.22541656083395151</v>
      </c>
      <c r="E52" s="33">
        <f>E39+452628</f>
        <v>7742839</v>
      </c>
      <c r="F52" s="33">
        <v>56746</v>
      </c>
      <c r="G52" s="33">
        <v>4504</v>
      </c>
      <c r="H52" s="92">
        <f t="shared" ref="H52:H56" si="14">B52+F52+G52</f>
        <v>111030913.93000001</v>
      </c>
      <c r="I52" s="148">
        <f t="shared" ref="I52:I57" si="15">IF(H52=0,"%",(F52+G52)/H52)</f>
        <v>5.5164816565065266E-4</v>
      </c>
    </row>
    <row r="53" spans="1:11" ht="15" x14ac:dyDescent="0.25">
      <c r="A53" s="34" t="s">
        <v>112</v>
      </c>
      <c r="B53" s="40">
        <f>+'2-Revenue'!G9</f>
        <v>18110955</v>
      </c>
      <c r="C53" s="33">
        <f>ROUND(($E$53+$E$54)*(B53/($B$53+$B$54)),-2)</f>
        <v>2234300</v>
      </c>
      <c r="D53" s="83">
        <f t="shared" si="13"/>
        <v>0.12336732104960782</v>
      </c>
      <c r="E53" s="33">
        <v>1139862</v>
      </c>
      <c r="F53" s="33">
        <v>331905</v>
      </c>
      <c r="G53" s="33">
        <v>1164180</v>
      </c>
      <c r="H53" s="92">
        <f t="shared" si="14"/>
        <v>19607040</v>
      </c>
      <c r="I53" s="148">
        <f t="shared" si="15"/>
        <v>7.6303460389737565E-2</v>
      </c>
    </row>
    <row r="54" spans="1:11" ht="15" x14ac:dyDescent="0.25">
      <c r="A54" s="34" t="s">
        <v>113</v>
      </c>
      <c r="B54" s="40">
        <f>+'2-Revenue'!G10</f>
        <v>21815828</v>
      </c>
      <c r="C54" s="33">
        <f>ROUND(($E$53+$E$54)*(B54/($B$53+$B$54)),-2)</f>
        <v>2691300</v>
      </c>
      <c r="D54" s="83">
        <f t="shared" si="13"/>
        <v>0.12336455897983795</v>
      </c>
      <c r="E54" s="33">
        <v>3785744</v>
      </c>
      <c r="F54" s="33">
        <v>1689368</v>
      </c>
      <c r="G54" s="33">
        <v>6087413</v>
      </c>
      <c r="H54" s="92">
        <f t="shared" si="14"/>
        <v>29592609</v>
      </c>
      <c r="I54" s="148">
        <f t="shared" si="15"/>
        <v>0.2627947066106946</v>
      </c>
    </row>
    <row r="55" spans="1:11" ht="15" x14ac:dyDescent="0.25">
      <c r="A55" s="34" t="s">
        <v>153</v>
      </c>
      <c r="B55" s="38">
        <f>+SUM('2-Revenue'!G11+'2-Revenue'!G13+'2-Revenue'!G15+'2-Revenue'!G17+'2-Revenue'!G19)</f>
        <v>4766034</v>
      </c>
      <c r="C55" s="33">
        <f>ROUND(($E$55+$E$56)*(B55/($B$55+$B$56)),-2)</f>
        <v>1879200</v>
      </c>
      <c r="D55" s="83">
        <f t="shared" si="13"/>
        <v>0.394290095286773</v>
      </c>
      <c r="E55" s="33">
        <v>2516372</v>
      </c>
      <c r="F55" s="33">
        <f>0</f>
        <v>0</v>
      </c>
      <c r="G55" s="33">
        <v>155862</v>
      </c>
      <c r="H55" s="92">
        <f t="shared" si="14"/>
        <v>4921896</v>
      </c>
      <c r="I55" s="148">
        <f t="shared" si="15"/>
        <v>3.1667064887189816E-2</v>
      </c>
    </row>
    <row r="56" spans="1:11" ht="15" x14ac:dyDescent="0.25">
      <c r="A56" s="35" t="s">
        <v>154</v>
      </c>
      <c r="B56" s="38">
        <f>+SUM('2-Revenue'!G12+'2-Revenue'!G14+'2-Revenue'!G16+'2-Revenue'!G18+'2-Revenue'!G20)</f>
        <v>25684517.949999999</v>
      </c>
      <c r="C56" s="33">
        <f>ROUND(($E$55+$E$56)*(B56/($B$55+$B$56)),-2)</f>
        <v>10126900</v>
      </c>
      <c r="D56" s="83">
        <f t="shared" si="13"/>
        <v>0.39428032169862082</v>
      </c>
      <c r="E56" s="33">
        <v>9489714</v>
      </c>
      <c r="F56" s="33">
        <f>0</f>
        <v>0</v>
      </c>
      <c r="G56" s="33">
        <v>7603</v>
      </c>
      <c r="H56" s="93">
        <f t="shared" si="14"/>
        <v>25692120.949999999</v>
      </c>
      <c r="I56" s="148">
        <f t="shared" si="15"/>
        <v>2.9592730062248912E-4</v>
      </c>
    </row>
    <row r="57" spans="1:11" ht="15.6" thickBot="1" x14ac:dyDescent="0.3">
      <c r="A57" s="36" t="s">
        <v>155</v>
      </c>
      <c r="B57" s="41">
        <f>SUM(B51:B56)</f>
        <v>265433049.88</v>
      </c>
      <c r="C57" s="41">
        <f t="shared" ref="C57:H57" si="16">SUM(C51:C56)</f>
        <v>60900500</v>
      </c>
      <c r="D57" s="87">
        <f t="shared" si="13"/>
        <v>0.2294382708842497</v>
      </c>
      <c r="E57" s="41">
        <f t="shared" si="16"/>
        <v>60900402</v>
      </c>
      <c r="F57" s="39">
        <f t="shared" si="16"/>
        <v>3154143</v>
      </c>
      <c r="G57" s="39">
        <f t="shared" si="16"/>
        <v>9904135</v>
      </c>
      <c r="H57" s="90">
        <f t="shared" si="16"/>
        <v>278491327.88</v>
      </c>
      <c r="I57" s="149">
        <f t="shared" si="15"/>
        <v>4.688935235220941E-2</v>
      </c>
      <c r="J57" s="88"/>
    </row>
    <row r="58" spans="1:11" ht="15" x14ac:dyDescent="0.25">
      <c r="A58" s="164"/>
      <c r="B58" s="165"/>
      <c r="C58" s="165"/>
      <c r="D58" s="166"/>
      <c r="E58" s="165"/>
      <c r="F58" s="167"/>
      <c r="G58" s="167"/>
      <c r="H58" s="167"/>
      <c r="I58" s="168"/>
      <c r="J58" s="88"/>
    </row>
    <row r="59" spans="1:11" ht="15.6" x14ac:dyDescent="0.25">
      <c r="A59" s="441" t="s">
        <v>159</v>
      </c>
      <c r="B59" s="441"/>
      <c r="C59" s="441"/>
      <c r="D59" s="441"/>
      <c r="E59" s="441"/>
      <c r="F59" s="441"/>
      <c r="G59" s="441"/>
      <c r="H59" s="441"/>
      <c r="I59" s="147"/>
      <c r="J59" s="10"/>
      <c r="K59" s="10"/>
    </row>
    <row r="60" spans="1:11" ht="12.75" customHeight="1" x14ac:dyDescent="0.25">
      <c r="A60" s="442" t="s">
        <v>142</v>
      </c>
      <c r="B60" s="444" t="s">
        <v>143</v>
      </c>
      <c r="C60" s="444" t="s">
        <v>144</v>
      </c>
      <c r="D60" s="435" t="s">
        <v>145</v>
      </c>
      <c r="E60" s="444" t="s">
        <v>146</v>
      </c>
      <c r="F60" s="444" t="s">
        <v>147</v>
      </c>
      <c r="G60" s="444" t="s">
        <v>148</v>
      </c>
      <c r="H60" s="445" t="s">
        <v>149</v>
      </c>
      <c r="I60" s="428" t="s">
        <v>150</v>
      </c>
    </row>
    <row r="61" spans="1:11" ht="13.5" customHeight="1" thickBot="1" x14ac:dyDescent="0.3">
      <c r="A61" s="442"/>
      <c r="B61" s="445"/>
      <c r="C61" s="445"/>
      <c r="D61" s="435"/>
      <c r="E61" s="445"/>
      <c r="F61" s="445"/>
      <c r="G61" s="445"/>
      <c r="H61" s="445"/>
      <c r="I61" s="429"/>
      <c r="J61" s="10"/>
    </row>
    <row r="62" spans="1:11" ht="12.75" customHeight="1" x14ac:dyDescent="0.25">
      <c r="A62" s="442"/>
      <c r="B62" s="434"/>
      <c r="C62" s="434"/>
      <c r="D62" s="435"/>
      <c r="E62" s="434"/>
      <c r="F62" s="434"/>
      <c r="G62" s="434"/>
      <c r="H62" s="434"/>
      <c r="I62" s="429"/>
      <c r="J62" s="437" t="s">
        <v>151</v>
      </c>
      <c r="K62" s="438"/>
    </row>
    <row r="63" spans="1:11" ht="19.5" customHeight="1" thickBot="1" x14ac:dyDescent="0.3">
      <c r="A63" s="443"/>
      <c r="B63" s="446"/>
      <c r="C63" s="446"/>
      <c r="D63" s="436"/>
      <c r="E63" s="446"/>
      <c r="F63" s="446"/>
      <c r="G63" s="446"/>
      <c r="H63" s="446"/>
      <c r="I63" s="430"/>
      <c r="J63" s="439" t="s">
        <v>152</v>
      </c>
      <c r="K63" s="440"/>
    </row>
    <row r="64" spans="1:11" ht="15" x14ac:dyDescent="0.25">
      <c r="A64" s="32" t="s">
        <v>110</v>
      </c>
      <c r="B64" s="37">
        <f>+'2-Revenue'!I7</f>
        <v>84086051</v>
      </c>
      <c r="C64" s="33">
        <f>ROUND(($E$64+$E$65)*(B64/($B$64+$B$65)),-2)</f>
        <v>18954400</v>
      </c>
      <c r="D64" s="83">
        <f t="shared" ref="D64:D70" si="17">IF(C64=0,"%",C64/B64)</f>
        <v>0.22541669842480769</v>
      </c>
      <c r="E64" s="33">
        <f>E51</f>
        <v>36225871</v>
      </c>
      <c r="F64" s="33">
        <v>1076124</v>
      </c>
      <c r="G64" s="33">
        <v>2484573</v>
      </c>
      <c r="H64" s="91">
        <f>B64+F64+G64</f>
        <v>87646748</v>
      </c>
      <c r="I64" s="148">
        <f>IF(H64=0,"%",(F64+G64)/H64)</f>
        <v>4.0625546084151351E-2</v>
      </c>
      <c r="J64" s="84">
        <f>(C64+C66+C68)-(E64+E66+E68)</f>
        <v>-16814205</v>
      </c>
      <c r="K64" s="85" t="str">
        <f>IF(J64&gt;0,"WARNING: IS subsidizing OS","Compliant")</f>
        <v>Compliant</v>
      </c>
    </row>
    <row r="65" spans="1:11" ht="15" x14ac:dyDescent="0.25">
      <c r="A65" s="34" t="s">
        <v>111</v>
      </c>
      <c r="B65" s="37">
        <f>+'2-Revenue'!I8</f>
        <v>110969663.93000001</v>
      </c>
      <c r="C65" s="33">
        <f>ROUND(($E$64+$E$65)*(B65/($B$64+$B$65)),-2)</f>
        <v>25014400</v>
      </c>
      <c r="D65" s="83">
        <f t="shared" si="17"/>
        <v>0.22541656083395151</v>
      </c>
      <c r="E65" s="33">
        <f>E52</f>
        <v>7742839</v>
      </c>
      <c r="F65" s="33">
        <v>56746</v>
      </c>
      <c r="G65" s="33">
        <v>4504</v>
      </c>
      <c r="H65" s="92">
        <f t="shared" ref="H65:H69" si="18">B65+F65+G65</f>
        <v>111030913.93000001</v>
      </c>
      <c r="I65" s="148">
        <f t="shared" ref="I65:I70" si="19">IF(H65=0,"%",(F65+G65)/H65)</f>
        <v>5.5164816565065266E-4</v>
      </c>
    </row>
    <row r="66" spans="1:11" ht="15" x14ac:dyDescent="0.25">
      <c r="A66" s="34" t="s">
        <v>112</v>
      </c>
      <c r="B66" s="37">
        <f>+'2-Revenue'!I9</f>
        <v>18110955</v>
      </c>
      <c r="C66" s="33">
        <f>ROUND(($E$66+$E$67)*(B66/($B$66+$B$67)),-2)</f>
        <v>2234300</v>
      </c>
      <c r="D66" s="83">
        <f t="shared" si="17"/>
        <v>0.12336732104960782</v>
      </c>
      <c r="E66" s="33">
        <v>1139862</v>
      </c>
      <c r="F66" s="33">
        <v>331905</v>
      </c>
      <c r="G66" s="33">
        <v>1164180</v>
      </c>
      <c r="H66" s="92">
        <f t="shared" si="18"/>
        <v>19607040</v>
      </c>
      <c r="I66" s="148">
        <f t="shared" si="19"/>
        <v>7.6303460389737565E-2</v>
      </c>
    </row>
    <row r="67" spans="1:11" ht="15" x14ac:dyDescent="0.25">
      <c r="A67" s="34" t="s">
        <v>113</v>
      </c>
      <c r="B67" s="37">
        <f>+'2-Revenue'!I10</f>
        <v>21815828</v>
      </c>
      <c r="C67" s="33">
        <f>ROUND(($E$66+$E$67)*(B67/($B$66+$B$67)),-2)</f>
        <v>2691300</v>
      </c>
      <c r="D67" s="83">
        <f t="shared" si="17"/>
        <v>0.12336455897983795</v>
      </c>
      <c r="E67" s="33">
        <v>3785744</v>
      </c>
      <c r="F67" s="33">
        <v>1689368</v>
      </c>
      <c r="G67" s="33">
        <v>6087413</v>
      </c>
      <c r="H67" s="92">
        <f t="shared" si="18"/>
        <v>29592609</v>
      </c>
      <c r="I67" s="148">
        <f t="shared" si="19"/>
        <v>0.2627947066106946</v>
      </c>
    </row>
    <row r="68" spans="1:11" ht="15" x14ac:dyDescent="0.25">
      <c r="A68" s="34" t="s">
        <v>153</v>
      </c>
      <c r="B68" s="38">
        <f>+SUM('2-Revenue'!I11+'2-Revenue'!I13+'2-Revenue'!I15+'2-Revenue'!I17+'2-Revenue'!I19)</f>
        <v>4766034</v>
      </c>
      <c r="C68" s="33">
        <f>ROUND(($E$68+$E$69)*(B68/($B$68+$B$69)),-2)</f>
        <v>1879200</v>
      </c>
      <c r="D68" s="83">
        <f t="shared" si="17"/>
        <v>0.394290095286773</v>
      </c>
      <c r="E68" s="33">
        <v>2516372</v>
      </c>
      <c r="F68" s="33">
        <f>0</f>
        <v>0</v>
      </c>
      <c r="G68" s="33">
        <v>155862</v>
      </c>
      <c r="H68" s="92">
        <f t="shared" si="18"/>
        <v>4921896</v>
      </c>
      <c r="I68" s="148">
        <f t="shared" si="19"/>
        <v>3.1667064887189816E-2</v>
      </c>
    </row>
    <row r="69" spans="1:11" ht="15" x14ac:dyDescent="0.25">
      <c r="A69" s="35" t="s">
        <v>154</v>
      </c>
      <c r="B69" s="38">
        <f>+SUM('2-Revenue'!I12+'2-Revenue'!I14+'2-Revenue'!I16+'2-Revenue'!I18+'2-Revenue'!I20)</f>
        <v>25684517.949999999</v>
      </c>
      <c r="C69" s="33">
        <f>ROUND(($E$68+$E$69)*(B69/($B$68+$B$69)),-2)</f>
        <v>10126900</v>
      </c>
      <c r="D69" s="83">
        <f t="shared" si="17"/>
        <v>0.39428032169862082</v>
      </c>
      <c r="E69" s="33">
        <v>9489714</v>
      </c>
      <c r="F69" s="33">
        <f>0</f>
        <v>0</v>
      </c>
      <c r="G69" s="33">
        <v>7603</v>
      </c>
      <c r="H69" s="93">
        <f t="shared" si="18"/>
        <v>25692120.949999999</v>
      </c>
      <c r="I69" s="148">
        <f t="shared" si="19"/>
        <v>2.9592730062248912E-4</v>
      </c>
    </row>
    <row r="70" spans="1:11" ht="15.6" thickBot="1" x14ac:dyDescent="0.3">
      <c r="A70" s="36" t="s">
        <v>155</v>
      </c>
      <c r="B70" s="41">
        <f>SUM(B64:B69)</f>
        <v>265433049.88</v>
      </c>
      <c r="C70" s="41">
        <f t="shared" ref="C70" si="20">SUM(C64:C69)</f>
        <v>60900500</v>
      </c>
      <c r="D70" s="87">
        <f t="shared" si="17"/>
        <v>0.2294382708842497</v>
      </c>
      <c r="E70" s="41">
        <f t="shared" ref="E70:H70" si="21">SUM(E64:E69)</f>
        <v>60900402</v>
      </c>
      <c r="F70" s="39">
        <f t="shared" si="21"/>
        <v>3154143</v>
      </c>
      <c r="G70" s="39">
        <f t="shared" si="21"/>
        <v>9904135</v>
      </c>
      <c r="H70" s="90">
        <f t="shared" si="21"/>
        <v>278491327.88</v>
      </c>
      <c r="I70" s="149">
        <f t="shared" si="19"/>
        <v>4.688935235220941E-2</v>
      </c>
      <c r="J70" s="88"/>
    </row>
    <row r="71" spans="1:11" ht="15" x14ac:dyDescent="0.25">
      <c r="A71" s="164"/>
      <c r="B71" s="165"/>
      <c r="C71" s="165"/>
      <c r="D71" s="166"/>
      <c r="E71" s="165"/>
      <c r="F71" s="167"/>
      <c r="G71" s="167"/>
      <c r="H71" s="167"/>
      <c r="I71" s="168"/>
      <c r="J71" s="88"/>
    </row>
    <row r="72" spans="1:11" ht="12.75" customHeight="1" x14ac:dyDescent="0.25">
      <c r="A72" s="441" t="s">
        <v>160</v>
      </c>
      <c r="B72" s="441"/>
      <c r="C72" s="441"/>
      <c r="D72" s="441"/>
      <c r="E72" s="441"/>
      <c r="F72" s="441"/>
      <c r="G72" s="441"/>
      <c r="H72" s="441"/>
      <c r="I72" s="147"/>
      <c r="J72" s="10"/>
      <c r="K72" s="10"/>
    </row>
    <row r="73" spans="1:11" ht="13.5" customHeight="1" x14ac:dyDescent="0.25">
      <c r="A73" s="442" t="s">
        <v>142</v>
      </c>
      <c r="B73" s="444" t="s">
        <v>143</v>
      </c>
      <c r="C73" s="444" t="s">
        <v>144</v>
      </c>
      <c r="D73" s="435" t="s">
        <v>145</v>
      </c>
      <c r="E73" s="444" t="s">
        <v>146</v>
      </c>
      <c r="F73" s="444" t="s">
        <v>147</v>
      </c>
      <c r="G73" s="444" t="s">
        <v>148</v>
      </c>
      <c r="H73" s="445" t="s">
        <v>149</v>
      </c>
      <c r="I73" s="428" t="s">
        <v>150</v>
      </c>
    </row>
    <row r="74" spans="1:11" ht="13.5" customHeight="1" thickBot="1" x14ac:dyDescent="0.3">
      <c r="A74" s="442"/>
      <c r="B74" s="445"/>
      <c r="C74" s="445"/>
      <c r="D74" s="435"/>
      <c r="E74" s="445"/>
      <c r="F74" s="445"/>
      <c r="G74" s="445"/>
      <c r="H74" s="445"/>
      <c r="I74" s="429"/>
      <c r="J74" s="10"/>
    </row>
    <row r="75" spans="1:11" ht="12.75" customHeight="1" x14ac:dyDescent="0.25">
      <c r="A75" s="442"/>
      <c r="B75" s="434"/>
      <c r="C75" s="434"/>
      <c r="D75" s="435"/>
      <c r="E75" s="434"/>
      <c r="F75" s="434"/>
      <c r="G75" s="434"/>
      <c r="H75" s="434"/>
      <c r="I75" s="429"/>
      <c r="J75" s="437" t="s">
        <v>151</v>
      </c>
      <c r="K75" s="438"/>
    </row>
    <row r="76" spans="1:11" ht="22.5" customHeight="1" thickBot="1" x14ac:dyDescent="0.3">
      <c r="A76" s="443"/>
      <c r="B76" s="446"/>
      <c r="C76" s="446"/>
      <c r="D76" s="436"/>
      <c r="E76" s="446"/>
      <c r="F76" s="446"/>
      <c r="G76" s="446"/>
      <c r="H76" s="446"/>
      <c r="I76" s="430"/>
      <c r="J76" s="439" t="s">
        <v>152</v>
      </c>
      <c r="K76" s="440"/>
    </row>
    <row r="77" spans="1:11" ht="15" x14ac:dyDescent="0.25">
      <c r="A77" s="32" t="s">
        <v>110</v>
      </c>
      <c r="B77" s="37">
        <f>+'2-Revenue'!K7</f>
        <v>84086051</v>
      </c>
      <c r="C77" s="33">
        <f>ROUND(($E$77+$E$78)*(B77/($B$77+$B$78)),-2)</f>
        <v>18954400</v>
      </c>
      <c r="D77" s="83">
        <f t="shared" ref="D77:D83" si="22">IF(C77=0,"%",C77/B77)</f>
        <v>0.22541669842480769</v>
      </c>
      <c r="E77" s="33">
        <f>E64</f>
        <v>36225871</v>
      </c>
      <c r="F77" s="33">
        <v>1076124</v>
      </c>
      <c r="G77" s="33">
        <v>2484573</v>
      </c>
      <c r="H77" s="91">
        <f>B77+F77+G77</f>
        <v>87646748</v>
      </c>
      <c r="I77" s="148">
        <f>IF(H77=0,"%",(F77+G77)/H77)</f>
        <v>4.0625546084151351E-2</v>
      </c>
      <c r="J77" s="84">
        <f>(C77+C79+C81)-(E77+E79+E81)</f>
        <v>-16814205</v>
      </c>
      <c r="K77" s="85" t="str">
        <f>IF(J77&gt;0,"WARNING: IS subsidizing OS","Compliant")</f>
        <v>Compliant</v>
      </c>
    </row>
    <row r="78" spans="1:11" ht="15" x14ac:dyDescent="0.25">
      <c r="A78" s="34" t="s">
        <v>111</v>
      </c>
      <c r="B78" s="37">
        <f>+'2-Revenue'!K8</f>
        <v>110969663.93000001</v>
      </c>
      <c r="C78" s="33">
        <f>ROUND(($E$77+$E$78)*(B78/($B$77+$B$78)),-2)</f>
        <v>25014400</v>
      </c>
      <c r="D78" s="83">
        <f t="shared" si="22"/>
        <v>0.22541656083395151</v>
      </c>
      <c r="E78" s="33">
        <f>E65</f>
        <v>7742839</v>
      </c>
      <c r="F78" s="33">
        <v>56746</v>
      </c>
      <c r="G78" s="33">
        <v>4504</v>
      </c>
      <c r="H78" s="92">
        <f t="shared" ref="H78:H82" si="23">B78+F78+G78</f>
        <v>111030913.93000001</v>
      </c>
      <c r="I78" s="148">
        <f t="shared" ref="I78:I83" si="24">IF(H78=0,"%",(F78+G78)/H78)</f>
        <v>5.5164816565065266E-4</v>
      </c>
    </row>
    <row r="79" spans="1:11" ht="15" x14ac:dyDescent="0.25">
      <c r="A79" s="34" t="s">
        <v>112</v>
      </c>
      <c r="B79" s="37">
        <f>+'2-Revenue'!K9</f>
        <v>18110955</v>
      </c>
      <c r="C79" s="33">
        <f>ROUND(($E$79+$E$80)*(B79/($B$79+$B$80)),-2)</f>
        <v>2234300</v>
      </c>
      <c r="D79" s="83">
        <f t="shared" si="22"/>
        <v>0.12336732104960782</v>
      </c>
      <c r="E79" s="33">
        <v>1139862</v>
      </c>
      <c r="F79" s="33">
        <v>331905</v>
      </c>
      <c r="G79" s="33">
        <v>1164180</v>
      </c>
      <c r="H79" s="92">
        <f t="shared" si="23"/>
        <v>19607040</v>
      </c>
      <c r="I79" s="148">
        <f t="shared" si="24"/>
        <v>7.6303460389737565E-2</v>
      </c>
    </row>
    <row r="80" spans="1:11" ht="15" x14ac:dyDescent="0.25">
      <c r="A80" s="34" t="s">
        <v>113</v>
      </c>
      <c r="B80" s="37">
        <f>+'2-Revenue'!K10</f>
        <v>21815828</v>
      </c>
      <c r="C80" s="33">
        <f>ROUND(($E$79+$E$80)*(B80/($B$79+$B$80)),-2)</f>
        <v>2691300</v>
      </c>
      <c r="D80" s="83">
        <f t="shared" si="22"/>
        <v>0.12336455897983795</v>
      </c>
      <c r="E80" s="33">
        <v>3785744</v>
      </c>
      <c r="F80" s="33">
        <v>1689368</v>
      </c>
      <c r="G80" s="33">
        <v>6087413</v>
      </c>
      <c r="H80" s="92">
        <f t="shared" si="23"/>
        <v>29592609</v>
      </c>
      <c r="I80" s="148">
        <f t="shared" si="24"/>
        <v>0.2627947066106946</v>
      </c>
    </row>
    <row r="81" spans="1:10" ht="15" x14ac:dyDescent="0.25">
      <c r="A81" s="34" t="s">
        <v>153</v>
      </c>
      <c r="B81" s="38">
        <f>+SUM('2-Revenue'!K11+'2-Revenue'!K13+'2-Revenue'!K15+'2-Revenue'!K17+'2-Revenue'!K19)</f>
        <v>4766034</v>
      </c>
      <c r="C81" s="33">
        <f>ROUND(($E$81+$E$82)*(B81/($B$81+$B$82)),-2)</f>
        <v>1879200</v>
      </c>
      <c r="D81" s="83">
        <f t="shared" si="22"/>
        <v>0.394290095286773</v>
      </c>
      <c r="E81" s="33">
        <v>2516372</v>
      </c>
      <c r="F81" s="33">
        <f>0</f>
        <v>0</v>
      </c>
      <c r="G81" s="33">
        <v>155862</v>
      </c>
      <c r="H81" s="92">
        <f t="shared" si="23"/>
        <v>4921896</v>
      </c>
      <c r="I81" s="148">
        <f t="shared" si="24"/>
        <v>3.1667064887189816E-2</v>
      </c>
    </row>
    <row r="82" spans="1:10" ht="15" x14ac:dyDescent="0.25">
      <c r="A82" s="35" t="s">
        <v>154</v>
      </c>
      <c r="B82" s="38">
        <f>+SUM('2-Revenue'!K12+'2-Revenue'!K14+'2-Revenue'!K16+'2-Revenue'!K18+'2-Revenue'!K20)</f>
        <v>25684517.949999999</v>
      </c>
      <c r="C82" s="33">
        <f>ROUND(($E$81+$E$82)*(B82/($B$81+$B$82)),-2)</f>
        <v>10126900</v>
      </c>
      <c r="D82" s="83">
        <f t="shared" si="22"/>
        <v>0.39428032169862082</v>
      </c>
      <c r="E82" s="33">
        <v>9489714</v>
      </c>
      <c r="F82" s="33">
        <f>0</f>
        <v>0</v>
      </c>
      <c r="G82" s="33">
        <v>7603</v>
      </c>
      <c r="H82" s="93">
        <f t="shared" si="23"/>
        <v>25692120.949999999</v>
      </c>
      <c r="I82" s="148">
        <f t="shared" si="24"/>
        <v>2.9592730062248912E-4</v>
      </c>
    </row>
    <row r="83" spans="1:10" ht="15.6" thickBot="1" x14ac:dyDescent="0.3">
      <c r="A83" s="36" t="s">
        <v>155</v>
      </c>
      <c r="B83" s="41">
        <f>SUM(B77:B82)</f>
        <v>265433049.88</v>
      </c>
      <c r="C83" s="41">
        <f t="shared" ref="C83" si="25">SUM(C77:C82)</f>
        <v>60900500</v>
      </c>
      <c r="D83" s="87">
        <f t="shared" si="22"/>
        <v>0.2294382708842497</v>
      </c>
      <c r="E83" s="41">
        <f t="shared" ref="E83:H83" si="26">SUM(E77:E82)</f>
        <v>60900402</v>
      </c>
      <c r="F83" s="39">
        <f t="shared" si="26"/>
        <v>3154143</v>
      </c>
      <c r="G83" s="39">
        <f t="shared" si="26"/>
        <v>9904135</v>
      </c>
      <c r="H83" s="90">
        <f t="shared" si="26"/>
        <v>278491327.88</v>
      </c>
      <c r="I83" s="149">
        <f t="shared" si="24"/>
        <v>4.688935235220941E-2</v>
      </c>
      <c r="J83" s="88"/>
    </row>
    <row r="84" spans="1:10" ht="15" x14ac:dyDescent="0.25">
      <c r="A84" s="164"/>
      <c r="B84" s="165"/>
      <c r="C84" s="165"/>
      <c r="D84" s="166"/>
      <c r="E84" s="165"/>
      <c r="F84" s="167"/>
      <c r="G84" s="167"/>
      <c r="H84" s="167"/>
      <c r="I84" s="168"/>
      <c r="J84" s="88"/>
    </row>
    <row r="85" spans="1:10" ht="15.6" x14ac:dyDescent="0.25">
      <c r="A85" s="441" t="s">
        <v>161</v>
      </c>
      <c r="B85" s="441"/>
      <c r="C85" s="441"/>
      <c r="D85" s="441"/>
      <c r="E85" s="441"/>
      <c r="F85" s="441"/>
      <c r="G85" s="441"/>
      <c r="H85" s="441"/>
      <c r="I85" s="147"/>
      <c r="J85" s="88"/>
    </row>
    <row r="86" spans="1:10" ht="12.75" customHeight="1" x14ac:dyDescent="0.25">
      <c r="A86" s="442" t="s">
        <v>142</v>
      </c>
      <c r="B86" s="444" t="s">
        <v>143</v>
      </c>
      <c r="C86" s="444" t="s">
        <v>144</v>
      </c>
      <c r="D86" s="435" t="s">
        <v>145</v>
      </c>
      <c r="E86" s="444" t="s">
        <v>146</v>
      </c>
      <c r="F86" s="444" t="s">
        <v>147</v>
      </c>
      <c r="G86" s="444" t="s">
        <v>148</v>
      </c>
      <c r="H86" s="445" t="s">
        <v>149</v>
      </c>
      <c r="I86" s="428" t="s">
        <v>150</v>
      </c>
      <c r="J86" s="88"/>
    </row>
    <row r="87" spans="1:10" ht="12.75" customHeight="1" x14ac:dyDescent="0.25">
      <c r="A87" s="442"/>
      <c r="B87" s="445"/>
      <c r="C87" s="445"/>
      <c r="D87" s="435"/>
      <c r="E87" s="445"/>
      <c r="F87" s="445"/>
      <c r="G87" s="445"/>
      <c r="H87" s="445"/>
      <c r="I87" s="429"/>
      <c r="J87" s="88"/>
    </row>
    <row r="88" spans="1:10" ht="12.75" customHeight="1" x14ac:dyDescent="0.25">
      <c r="A88" s="442"/>
      <c r="B88" s="434"/>
      <c r="C88" s="434"/>
      <c r="D88" s="435"/>
      <c r="E88" s="434"/>
      <c r="F88" s="434"/>
      <c r="G88" s="434"/>
      <c r="H88" s="434"/>
      <c r="I88" s="429"/>
      <c r="J88" s="88"/>
    </row>
    <row r="89" spans="1:10" ht="21.75" customHeight="1" thickBot="1" x14ac:dyDescent="0.3">
      <c r="A89" s="443"/>
      <c r="B89" s="446"/>
      <c r="C89" s="446"/>
      <c r="D89" s="436"/>
      <c r="E89" s="446"/>
      <c r="F89" s="446"/>
      <c r="G89" s="446"/>
      <c r="H89" s="446"/>
      <c r="I89" s="430"/>
      <c r="J89" s="88"/>
    </row>
    <row r="90" spans="1:10" ht="15" x14ac:dyDescent="0.25">
      <c r="A90" s="32" t="s">
        <v>110</v>
      </c>
      <c r="B90" s="37">
        <f>+'2-Revenue'!M7</f>
        <v>84086051</v>
      </c>
      <c r="C90" s="33">
        <f>ROUND(($E$90+$E$91)*(B90/($B$90+$B$91)),-2)</f>
        <v>18954400</v>
      </c>
      <c r="D90" s="83">
        <f t="shared" ref="D90:D96" si="27">IF(C90=0,"%",C90/B90)</f>
        <v>0.22541669842480769</v>
      </c>
      <c r="E90" s="33">
        <f>E77</f>
        <v>36225871</v>
      </c>
      <c r="F90" s="33">
        <v>1076124</v>
      </c>
      <c r="G90" s="33">
        <v>2484573</v>
      </c>
      <c r="H90" s="91">
        <f>B90+F90+G90</f>
        <v>87646748</v>
      </c>
      <c r="I90" s="148">
        <f>IF(H90=0,"%",(F90+G90)/H90)</f>
        <v>4.0625546084151351E-2</v>
      </c>
      <c r="J90" s="88"/>
    </row>
    <row r="91" spans="1:10" ht="15" x14ac:dyDescent="0.25">
      <c r="A91" s="34" t="s">
        <v>111</v>
      </c>
      <c r="B91" s="37">
        <f>+'2-Revenue'!M8</f>
        <v>110969663.93000001</v>
      </c>
      <c r="C91" s="33">
        <f>ROUND(($E$90+$E$91)*(B91/($B$90+$B$91)),-2)</f>
        <v>25014400</v>
      </c>
      <c r="D91" s="83">
        <f t="shared" si="27"/>
        <v>0.22541656083395151</v>
      </c>
      <c r="E91" s="33">
        <f>E78</f>
        <v>7742839</v>
      </c>
      <c r="F91" s="33">
        <v>56746</v>
      </c>
      <c r="G91" s="33">
        <v>4504</v>
      </c>
      <c r="H91" s="92">
        <f t="shared" ref="H91:H95" si="28">B91+F91+G91</f>
        <v>111030913.93000001</v>
      </c>
      <c r="I91" s="148">
        <f t="shared" ref="I91:I96" si="29">IF(H91=0,"%",(F91+G91)/H91)</f>
        <v>5.5164816565065266E-4</v>
      </c>
      <c r="J91" s="88"/>
    </row>
    <row r="92" spans="1:10" ht="15" x14ac:dyDescent="0.25">
      <c r="A92" s="34" t="s">
        <v>112</v>
      </c>
      <c r="B92" s="37">
        <f>+'2-Revenue'!M9</f>
        <v>18110955</v>
      </c>
      <c r="C92" s="33">
        <f>ROUND(($E$92+$E$93)*(B92/($B$92+$B$93)),-2)</f>
        <v>2234300</v>
      </c>
      <c r="D92" s="83">
        <f t="shared" si="27"/>
        <v>0.12336732104960782</v>
      </c>
      <c r="E92" s="33">
        <v>1139862</v>
      </c>
      <c r="F92" s="33">
        <v>331905</v>
      </c>
      <c r="G92" s="33">
        <v>1164180</v>
      </c>
      <c r="H92" s="92">
        <f t="shared" si="28"/>
        <v>19607040</v>
      </c>
      <c r="I92" s="148">
        <f t="shared" si="29"/>
        <v>7.6303460389737565E-2</v>
      </c>
      <c r="J92" s="88"/>
    </row>
    <row r="93" spans="1:10" ht="15" x14ac:dyDescent="0.25">
      <c r="A93" s="34" t="s">
        <v>113</v>
      </c>
      <c r="B93" s="37">
        <f>+'2-Revenue'!M10</f>
        <v>21815828</v>
      </c>
      <c r="C93" s="33">
        <f>ROUND(($E$92+$E$93)*(B93/($B$92+$B$93)),-2)</f>
        <v>2691300</v>
      </c>
      <c r="D93" s="83">
        <f t="shared" si="27"/>
        <v>0.12336455897983795</v>
      </c>
      <c r="E93" s="33">
        <v>3785744</v>
      </c>
      <c r="F93" s="33">
        <v>1689368</v>
      </c>
      <c r="G93" s="33">
        <v>6087413</v>
      </c>
      <c r="H93" s="92">
        <f t="shared" si="28"/>
        <v>29592609</v>
      </c>
      <c r="I93" s="148">
        <f t="shared" si="29"/>
        <v>0.2627947066106946</v>
      </c>
      <c r="J93" s="88"/>
    </row>
    <row r="94" spans="1:10" ht="15" x14ac:dyDescent="0.25">
      <c r="A94" s="34" t="s">
        <v>153</v>
      </c>
      <c r="B94" s="38">
        <f>+SUM('2-Revenue'!M11+'2-Revenue'!M13+'2-Revenue'!M15+'2-Revenue'!M17+'2-Revenue'!M19)</f>
        <v>4766034</v>
      </c>
      <c r="C94" s="33">
        <f>ROUND(($E$94+$E$95)*(B94/($B$94+$B$95)),-2)</f>
        <v>1879200</v>
      </c>
      <c r="D94" s="83">
        <f t="shared" si="27"/>
        <v>0.394290095286773</v>
      </c>
      <c r="E94" s="33">
        <v>2516372</v>
      </c>
      <c r="F94" s="33">
        <f>0</f>
        <v>0</v>
      </c>
      <c r="G94" s="33">
        <v>155862</v>
      </c>
      <c r="H94" s="92">
        <f t="shared" si="28"/>
        <v>4921896</v>
      </c>
      <c r="I94" s="148">
        <f t="shared" si="29"/>
        <v>3.1667064887189816E-2</v>
      </c>
      <c r="J94" s="88"/>
    </row>
    <row r="95" spans="1:10" ht="15" x14ac:dyDescent="0.25">
      <c r="A95" s="35" t="s">
        <v>154</v>
      </c>
      <c r="B95" s="38">
        <f>+SUM('2-Revenue'!M12+'2-Revenue'!M14+'2-Revenue'!M16+'2-Revenue'!M18+'2-Revenue'!M20)</f>
        <v>25684517.949999999</v>
      </c>
      <c r="C95" s="33">
        <f>ROUND(($E$94+$E$95)*(B95/($B$94+$B$95)),-2)</f>
        <v>10126900</v>
      </c>
      <c r="D95" s="83">
        <f t="shared" si="27"/>
        <v>0.39428032169862082</v>
      </c>
      <c r="E95" s="33">
        <v>9489714</v>
      </c>
      <c r="F95" s="33">
        <f>0</f>
        <v>0</v>
      </c>
      <c r="G95" s="33">
        <v>7603</v>
      </c>
      <c r="H95" s="93">
        <f t="shared" si="28"/>
        <v>25692120.949999999</v>
      </c>
      <c r="I95" s="148">
        <f t="shared" si="29"/>
        <v>2.9592730062248912E-4</v>
      </c>
      <c r="J95" s="88"/>
    </row>
    <row r="96" spans="1:10" ht="15.6" thickBot="1" x14ac:dyDescent="0.3">
      <c r="A96" s="36" t="s">
        <v>155</v>
      </c>
      <c r="B96" s="41">
        <f>SUM(B90:B95)</f>
        <v>265433049.88</v>
      </c>
      <c r="C96" s="41">
        <f t="shared" ref="C96" si="30">SUM(C90:C95)</f>
        <v>60900500</v>
      </c>
      <c r="D96" s="87">
        <f t="shared" si="27"/>
        <v>0.2294382708842497</v>
      </c>
      <c r="E96" s="41">
        <f t="shared" ref="E96:H96" si="31">SUM(E90:E95)</f>
        <v>60900402</v>
      </c>
      <c r="F96" s="39">
        <f t="shared" si="31"/>
        <v>3154143</v>
      </c>
      <c r="G96" s="39">
        <f t="shared" si="31"/>
        <v>9904135</v>
      </c>
      <c r="H96" s="90">
        <f t="shared" si="31"/>
        <v>278491327.88</v>
      </c>
      <c r="I96" s="149">
        <f t="shared" si="29"/>
        <v>4.688935235220941E-2</v>
      </c>
      <c r="J96" s="88"/>
    </row>
    <row r="97" spans="1:10" ht="15" x14ac:dyDescent="0.25">
      <c r="A97" s="164"/>
      <c r="B97" s="165"/>
      <c r="C97" s="165"/>
      <c r="D97" s="166"/>
      <c r="E97" s="165"/>
      <c r="F97" s="167"/>
      <c r="G97" s="167"/>
      <c r="H97" s="167"/>
      <c r="I97" s="168"/>
      <c r="J97" s="88"/>
    </row>
    <row r="98" spans="1:10" ht="15.6" x14ac:dyDescent="0.25">
      <c r="A98" s="431" t="s">
        <v>162</v>
      </c>
      <c r="B98" s="432"/>
      <c r="C98" s="432"/>
      <c r="D98" s="432"/>
      <c r="E98" s="432"/>
      <c r="F98" s="432"/>
      <c r="G98" s="432"/>
      <c r="H98" s="433"/>
      <c r="I98" s="147"/>
      <c r="J98" s="88"/>
    </row>
    <row r="99" spans="1:10" ht="12.75" customHeight="1" x14ac:dyDescent="0.25">
      <c r="A99" s="434" t="s">
        <v>142</v>
      </c>
      <c r="B99" s="434" t="s">
        <v>143</v>
      </c>
      <c r="C99" s="434" t="s">
        <v>144</v>
      </c>
      <c r="D99" s="434" t="s">
        <v>145</v>
      </c>
      <c r="E99" s="434" t="s">
        <v>146</v>
      </c>
      <c r="F99" s="434" t="s">
        <v>147</v>
      </c>
      <c r="G99" s="434" t="s">
        <v>148</v>
      </c>
      <c r="H99" s="434" t="s">
        <v>149</v>
      </c>
      <c r="I99" s="428" t="s">
        <v>150</v>
      </c>
      <c r="J99" s="88"/>
    </row>
    <row r="100" spans="1:10" ht="12.75" customHeight="1" x14ac:dyDescent="0.25">
      <c r="A100" s="435"/>
      <c r="B100" s="435"/>
      <c r="C100" s="435"/>
      <c r="D100" s="435"/>
      <c r="E100" s="435"/>
      <c r="F100" s="435"/>
      <c r="G100" s="435"/>
      <c r="H100" s="435"/>
      <c r="I100" s="429"/>
      <c r="J100" s="88"/>
    </row>
    <row r="101" spans="1:10" ht="12.75" customHeight="1" x14ac:dyDescent="0.25">
      <c r="A101" s="435"/>
      <c r="B101" s="435"/>
      <c r="C101" s="435"/>
      <c r="D101" s="435"/>
      <c r="E101" s="435"/>
      <c r="F101" s="435"/>
      <c r="G101" s="435"/>
      <c r="H101" s="435"/>
      <c r="I101" s="429"/>
      <c r="J101" s="88"/>
    </row>
    <row r="102" spans="1:10" ht="22.5" customHeight="1" thickBot="1" x14ac:dyDescent="0.3">
      <c r="A102" s="436"/>
      <c r="B102" s="436"/>
      <c r="C102" s="436"/>
      <c r="D102" s="436"/>
      <c r="E102" s="436"/>
      <c r="F102" s="436"/>
      <c r="G102" s="436"/>
      <c r="H102" s="436"/>
      <c r="I102" s="430"/>
      <c r="J102" s="88"/>
    </row>
    <row r="103" spans="1:10" ht="15" x14ac:dyDescent="0.25">
      <c r="A103" s="32" t="s">
        <v>110</v>
      </c>
      <c r="B103" s="37">
        <f>+'2-Revenue'!O7</f>
        <v>84086051</v>
      </c>
      <c r="C103" s="33">
        <f>ROUND(($E$103+$E$104)*(B103/($B$103+$B$104)),-2)</f>
        <v>18954400</v>
      </c>
      <c r="D103" s="83">
        <f t="shared" ref="D103:D109" si="32">IF(C103=0,"%",C103/B103)</f>
        <v>0.22541669842480769</v>
      </c>
      <c r="E103" s="33">
        <f>E90</f>
        <v>36225871</v>
      </c>
      <c r="F103" s="33">
        <v>1076124</v>
      </c>
      <c r="G103" s="33">
        <v>2484573</v>
      </c>
      <c r="H103" s="91">
        <f>B103+F103+G103</f>
        <v>87646748</v>
      </c>
      <c r="I103" s="148">
        <f>IF(H103=0,"%",(F103+G103)/H103)</f>
        <v>4.0625546084151351E-2</v>
      </c>
      <c r="J103" s="88"/>
    </row>
    <row r="104" spans="1:10" ht="15" x14ac:dyDescent="0.25">
      <c r="A104" s="34" t="s">
        <v>111</v>
      </c>
      <c r="B104" s="37">
        <f>+'2-Revenue'!O8</f>
        <v>110969663.93000001</v>
      </c>
      <c r="C104" s="33">
        <f>ROUND(($E$103+$E$104)*(B104/($B$103+$B$104)),-2)</f>
        <v>25014400</v>
      </c>
      <c r="D104" s="83">
        <f t="shared" si="32"/>
        <v>0.22541656083395151</v>
      </c>
      <c r="E104" s="33">
        <f>E91</f>
        <v>7742839</v>
      </c>
      <c r="F104" s="33">
        <v>56746</v>
      </c>
      <c r="G104" s="33">
        <v>4504</v>
      </c>
      <c r="H104" s="92">
        <f t="shared" ref="H104:H108" si="33">B104+F104+G104</f>
        <v>111030913.93000001</v>
      </c>
      <c r="I104" s="148">
        <f t="shared" ref="I104:I109" si="34">IF(H104=0,"%",(F104+G104)/H104)</f>
        <v>5.5164816565065266E-4</v>
      </c>
      <c r="J104" s="88"/>
    </row>
    <row r="105" spans="1:10" ht="15" x14ac:dyDescent="0.25">
      <c r="A105" s="34" t="s">
        <v>112</v>
      </c>
      <c r="B105" s="37">
        <f>+'2-Revenue'!O9</f>
        <v>18110955</v>
      </c>
      <c r="C105" s="33">
        <f>ROUND(($E$105+$E$106)*(B105/($B$105+$B$106)),-2)</f>
        <v>2234300</v>
      </c>
      <c r="D105" s="83">
        <f t="shared" si="32"/>
        <v>0.12336732104960782</v>
      </c>
      <c r="E105" s="33">
        <v>1139862</v>
      </c>
      <c r="F105" s="33">
        <v>331905</v>
      </c>
      <c r="G105" s="33">
        <v>1164180</v>
      </c>
      <c r="H105" s="92">
        <f t="shared" si="33"/>
        <v>19607040</v>
      </c>
      <c r="I105" s="148">
        <f t="shared" si="34"/>
        <v>7.6303460389737565E-2</v>
      </c>
      <c r="J105" s="88"/>
    </row>
    <row r="106" spans="1:10" ht="15" x14ac:dyDescent="0.25">
      <c r="A106" s="34" t="s">
        <v>113</v>
      </c>
      <c r="B106" s="37">
        <f>+'2-Revenue'!O10</f>
        <v>21815828</v>
      </c>
      <c r="C106" s="33">
        <f>ROUND(($E$105+$E$106)*(B106/($B$105+$B$106)),-2)</f>
        <v>2691300</v>
      </c>
      <c r="D106" s="83">
        <f t="shared" si="32"/>
        <v>0.12336455897983795</v>
      </c>
      <c r="E106" s="33">
        <v>3785744</v>
      </c>
      <c r="F106" s="33">
        <v>1689368</v>
      </c>
      <c r="G106" s="33">
        <v>6087413</v>
      </c>
      <c r="H106" s="92">
        <f t="shared" si="33"/>
        <v>29592609</v>
      </c>
      <c r="I106" s="148">
        <f t="shared" si="34"/>
        <v>0.2627947066106946</v>
      </c>
      <c r="J106" s="88"/>
    </row>
    <row r="107" spans="1:10" ht="15" x14ac:dyDescent="0.25">
      <c r="A107" s="34" t="s">
        <v>153</v>
      </c>
      <c r="B107" s="38">
        <f>+SUM('2-Revenue'!O11+'2-Revenue'!O13+'2-Revenue'!O15+'2-Revenue'!O17+'2-Revenue'!O19)</f>
        <v>4766034</v>
      </c>
      <c r="C107" s="33">
        <f>ROUND(($E$107+$E$108)*(B107/($B$107+$B$108)),-2)</f>
        <v>1879200</v>
      </c>
      <c r="D107" s="83">
        <f t="shared" si="32"/>
        <v>0.394290095286773</v>
      </c>
      <c r="E107" s="33">
        <v>2516372</v>
      </c>
      <c r="F107" s="33">
        <f>0</f>
        <v>0</v>
      </c>
      <c r="G107" s="33">
        <v>155862</v>
      </c>
      <c r="H107" s="92">
        <f t="shared" si="33"/>
        <v>4921896</v>
      </c>
      <c r="I107" s="148">
        <f t="shared" si="34"/>
        <v>3.1667064887189816E-2</v>
      </c>
      <c r="J107" s="88"/>
    </row>
    <row r="108" spans="1:10" ht="15" x14ac:dyDescent="0.25">
      <c r="A108" s="35" t="s">
        <v>154</v>
      </c>
      <c r="B108" s="38">
        <f>+SUM('2-Revenue'!O12+'2-Revenue'!O14+'2-Revenue'!O16+'2-Revenue'!O18+'2-Revenue'!O20)</f>
        <v>25684517.949999999</v>
      </c>
      <c r="C108" s="33">
        <f>ROUND(($E$107+$E$108)*(B108/($B$107+$B$108)),-2)</f>
        <v>10126900</v>
      </c>
      <c r="D108" s="83">
        <f t="shared" si="32"/>
        <v>0.39428032169862082</v>
      </c>
      <c r="E108" s="33">
        <v>9489714</v>
      </c>
      <c r="F108" s="33">
        <f>0</f>
        <v>0</v>
      </c>
      <c r="G108" s="33">
        <v>7603</v>
      </c>
      <c r="H108" s="93">
        <f t="shared" si="33"/>
        <v>25692120.949999999</v>
      </c>
      <c r="I108" s="148">
        <f t="shared" si="34"/>
        <v>2.9592730062248912E-4</v>
      </c>
      <c r="J108" s="88"/>
    </row>
    <row r="109" spans="1:10" ht="15.6" thickBot="1" x14ac:dyDescent="0.3">
      <c r="A109" s="36" t="s">
        <v>155</v>
      </c>
      <c r="B109" s="41">
        <f>SUM(B103:B108)</f>
        <v>265433049.88</v>
      </c>
      <c r="C109" s="41">
        <f t="shared" ref="C109" si="35">SUM(C103:C108)</f>
        <v>60900500</v>
      </c>
      <c r="D109" s="87">
        <f t="shared" si="32"/>
        <v>0.2294382708842497</v>
      </c>
      <c r="E109" s="41">
        <f t="shared" ref="E109:H109" si="36">SUM(E103:E108)</f>
        <v>60900402</v>
      </c>
      <c r="F109" s="39">
        <f t="shared" si="36"/>
        <v>3154143</v>
      </c>
      <c r="G109" s="39">
        <f t="shared" si="36"/>
        <v>9904135</v>
      </c>
      <c r="H109" s="90">
        <f t="shared" si="36"/>
        <v>278491327.88</v>
      </c>
      <c r="I109" s="149">
        <f t="shared" si="34"/>
        <v>4.688935235220941E-2</v>
      </c>
      <c r="J109" s="88"/>
    </row>
    <row r="111" spans="1:10" ht="72.75" customHeight="1" x14ac:dyDescent="0.25">
      <c r="A111" s="448" t="s">
        <v>163</v>
      </c>
      <c r="B111" s="448"/>
      <c r="C111" s="448"/>
      <c r="D111" s="448"/>
      <c r="E111" s="448"/>
      <c r="F111" s="448"/>
      <c r="G111" s="448"/>
      <c r="H111" s="448"/>
      <c r="I111" s="151"/>
    </row>
  </sheetData>
  <mergeCells count="101">
    <mergeCell ref="A2:E2"/>
    <mergeCell ref="J10:K10"/>
    <mergeCell ref="J11:K11"/>
    <mergeCell ref="A19:E19"/>
    <mergeCell ref="G8:G11"/>
    <mergeCell ref="A7:H7"/>
    <mergeCell ref="H8:H11"/>
    <mergeCell ref="A3:H3"/>
    <mergeCell ref="A4:H4"/>
    <mergeCell ref="A5:H5"/>
    <mergeCell ref="A6:F6"/>
    <mergeCell ref="I8:I11"/>
    <mergeCell ref="F8:F11"/>
    <mergeCell ref="A20:H20"/>
    <mergeCell ref="A21:A24"/>
    <mergeCell ref="B21:B24"/>
    <mergeCell ref="C21:C24"/>
    <mergeCell ref="D21:D24"/>
    <mergeCell ref="E21:E24"/>
    <mergeCell ref="A8:A11"/>
    <mergeCell ref="B8:B11"/>
    <mergeCell ref="C8:C11"/>
    <mergeCell ref="D8:D11"/>
    <mergeCell ref="E8:E11"/>
    <mergeCell ref="F21:F24"/>
    <mergeCell ref="J23:K23"/>
    <mergeCell ref="J24:K24"/>
    <mergeCell ref="A32:E32"/>
    <mergeCell ref="A34:A37"/>
    <mergeCell ref="B34:B37"/>
    <mergeCell ref="C34:C37"/>
    <mergeCell ref="D34:D37"/>
    <mergeCell ref="E34:E37"/>
    <mergeCell ref="F34:F37"/>
    <mergeCell ref="G34:G37"/>
    <mergeCell ref="J36:K36"/>
    <mergeCell ref="J37:K37"/>
    <mergeCell ref="H21:H24"/>
    <mergeCell ref="H34:H37"/>
    <mergeCell ref="A33:H33"/>
    <mergeCell ref="G21:G24"/>
    <mergeCell ref="I21:I24"/>
    <mergeCell ref="I34:I37"/>
    <mergeCell ref="A45:E45"/>
    <mergeCell ref="A111:H111"/>
    <mergeCell ref="G47:G50"/>
    <mergeCell ref="J49:K49"/>
    <mergeCell ref="J50:K50"/>
    <mergeCell ref="H47:H50"/>
    <mergeCell ref="A46:H46"/>
    <mergeCell ref="A47:A50"/>
    <mergeCell ref="B47:B50"/>
    <mergeCell ref="C47:C50"/>
    <mergeCell ref="D47:D50"/>
    <mergeCell ref="E47:E50"/>
    <mergeCell ref="F47:F50"/>
    <mergeCell ref="A59:H59"/>
    <mergeCell ref="A60:A63"/>
    <mergeCell ref="B60:B63"/>
    <mergeCell ref="I47:I50"/>
    <mergeCell ref="H60:H63"/>
    <mergeCell ref="I60:I63"/>
    <mergeCell ref="J62:K62"/>
    <mergeCell ref="J63:K63"/>
    <mergeCell ref="C60:C63"/>
    <mergeCell ref="D60:D63"/>
    <mergeCell ref="E60:E63"/>
    <mergeCell ref="F60:F63"/>
    <mergeCell ref="G60:G63"/>
    <mergeCell ref="A72:H72"/>
    <mergeCell ref="A73:A76"/>
    <mergeCell ref="B73:B76"/>
    <mergeCell ref="C73:C76"/>
    <mergeCell ref="D73:D76"/>
    <mergeCell ref="E73:E76"/>
    <mergeCell ref="F73:F76"/>
    <mergeCell ref="G73:G76"/>
    <mergeCell ref="H73:H76"/>
    <mergeCell ref="J75:K75"/>
    <mergeCell ref="J76:K76"/>
    <mergeCell ref="A85:H85"/>
    <mergeCell ref="A86:A89"/>
    <mergeCell ref="B86:B89"/>
    <mergeCell ref="C86:C89"/>
    <mergeCell ref="D86:D89"/>
    <mergeCell ref="E86:E89"/>
    <mergeCell ref="F86:F89"/>
    <mergeCell ref="G86:G89"/>
    <mergeCell ref="H86:H89"/>
    <mergeCell ref="I86:I89"/>
    <mergeCell ref="I73:I76"/>
    <mergeCell ref="I99:I102"/>
    <mergeCell ref="A98:H98"/>
    <mergeCell ref="A99:A102"/>
    <mergeCell ref="B99:B102"/>
    <mergeCell ref="C99:C102"/>
    <mergeCell ref="D99:D102"/>
    <mergeCell ref="E99:E102"/>
    <mergeCell ref="F99:F102"/>
    <mergeCell ref="G99:G102"/>
    <mergeCell ref="H99:H10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56"/>
  <sheetViews>
    <sheetView topLeftCell="G10" zoomScale="75" zoomScaleNormal="75" workbookViewId="0">
      <selection activeCell="J58" sqref="J58"/>
    </sheetView>
  </sheetViews>
  <sheetFormatPr defaultColWidth="9.109375" defaultRowHeight="13.2" x14ac:dyDescent="0.25"/>
  <cols>
    <col min="1" max="1" width="9.88671875" style="102" customWidth="1"/>
    <col min="2" max="2" width="7.109375" style="102" customWidth="1"/>
    <col min="3" max="3" width="51.6640625" style="333" customWidth="1"/>
    <col min="4" max="4" width="18.5546875" style="102" customWidth="1"/>
    <col min="5" max="5" width="15.44140625" style="102" customWidth="1"/>
    <col min="6" max="7" width="18.5546875" style="102" customWidth="1"/>
    <col min="8" max="8" width="21.88671875" style="102" customWidth="1"/>
    <col min="9" max="9" width="18.44140625" style="102" customWidth="1"/>
    <col min="10" max="11" width="20.33203125" style="102" customWidth="1"/>
    <col min="12" max="12" width="22.109375" style="102" customWidth="1"/>
    <col min="13" max="13" width="12.88671875" style="102" bestFit="1" customWidth="1"/>
    <col min="14" max="15" width="20.33203125" style="102" customWidth="1"/>
    <col min="16" max="16" width="18.109375" style="102" customWidth="1"/>
    <col min="17" max="17" width="16.6640625" style="102" customWidth="1"/>
    <col min="18" max="18" width="9.109375" style="102"/>
    <col min="19" max="19" width="10.44140625" style="102" bestFit="1" customWidth="1"/>
    <col min="20" max="16384" width="9.109375" style="102"/>
  </cols>
  <sheetData>
    <row r="1" spans="1:19" ht="20.100000000000001" customHeight="1" x14ac:dyDescent="0.25">
      <c r="A1" s="188" t="s">
        <v>164</v>
      </c>
      <c r="B1" s="188"/>
      <c r="C1" s="323"/>
      <c r="D1" s="188"/>
      <c r="E1" s="188"/>
      <c r="F1" s="188"/>
      <c r="G1" s="188"/>
      <c r="H1" s="188"/>
      <c r="I1" s="188"/>
      <c r="J1" s="188"/>
      <c r="K1" s="188"/>
      <c r="L1" s="188"/>
      <c r="M1" s="188"/>
      <c r="N1" s="188"/>
      <c r="O1" s="188"/>
    </row>
    <row r="2" spans="1:19" ht="20.100000000000001" customHeight="1" x14ac:dyDescent="0.25">
      <c r="A2" s="468" t="str">
        <f>'Institution ID'!C3</f>
        <v>William &amp; Mary</v>
      </c>
      <c r="B2" s="468"/>
      <c r="C2" s="468"/>
      <c r="D2" s="468"/>
      <c r="E2" s="468"/>
      <c r="F2" s="468"/>
      <c r="G2" s="468"/>
      <c r="H2" s="468"/>
      <c r="I2" s="468"/>
      <c r="J2" s="468"/>
      <c r="K2" s="386"/>
      <c r="L2" s="386"/>
      <c r="M2" s="386"/>
      <c r="N2" s="386"/>
      <c r="O2" s="386"/>
    </row>
    <row r="3" spans="1:19" ht="297.75" customHeight="1" x14ac:dyDescent="0.25">
      <c r="A3" s="469" t="s">
        <v>165</v>
      </c>
      <c r="B3" s="470"/>
      <c r="C3" s="470"/>
      <c r="D3" s="470"/>
      <c r="E3" s="470"/>
      <c r="F3" s="470"/>
      <c r="G3" s="470"/>
      <c r="H3" s="470"/>
      <c r="I3" s="470"/>
      <c r="J3" s="470"/>
      <c r="K3" s="470"/>
      <c r="L3" s="470"/>
      <c r="M3" s="470"/>
      <c r="N3" s="470"/>
      <c r="O3" s="470"/>
      <c r="P3" s="470"/>
      <c r="Q3" s="470"/>
    </row>
    <row r="4" spans="1:19" ht="30.75" customHeight="1" x14ac:dyDescent="0.25">
      <c r="A4" s="387"/>
      <c r="B4" s="471" t="s">
        <v>166</v>
      </c>
      <c r="C4" s="471"/>
      <c r="D4" s="471"/>
      <c r="E4" s="387"/>
      <c r="F4" s="387"/>
      <c r="G4" s="387"/>
      <c r="H4" s="334" t="s">
        <v>167</v>
      </c>
      <c r="I4" s="387"/>
      <c r="J4" s="387"/>
      <c r="K4" s="387"/>
      <c r="L4" s="334" t="s">
        <v>168</v>
      </c>
      <c r="M4" s="387"/>
      <c r="N4" s="387"/>
      <c r="O4" s="387"/>
      <c r="P4" s="387"/>
      <c r="Q4" s="387"/>
    </row>
    <row r="5" spans="1:19" ht="20.100000000000001" customHeight="1" x14ac:dyDescent="0.25">
      <c r="A5" s="218"/>
      <c r="B5" s="194" t="s">
        <v>169</v>
      </c>
      <c r="C5" s="324"/>
      <c r="D5" s="196">
        <v>299529315.48000002</v>
      </c>
      <c r="E5" s="187"/>
      <c r="F5" s="187"/>
      <c r="G5" s="187"/>
      <c r="H5" s="335" t="s">
        <v>170</v>
      </c>
      <c r="I5" s="187"/>
      <c r="J5" s="187"/>
      <c r="K5" s="187"/>
      <c r="L5" s="335" t="s">
        <v>170</v>
      </c>
      <c r="M5" s="187"/>
      <c r="N5" s="187"/>
      <c r="O5" s="187"/>
      <c r="P5" s="187"/>
    </row>
    <row r="6" spans="1:19" ht="20.100000000000001" customHeight="1" x14ac:dyDescent="0.25">
      <c r="A6" s="218"/>
      <c r="B6" s="195" t="s">
        <v>171</v>
      </c>
      <c r="C6" s="325"/>
      <c r="D6" s="197">
        <f>'2-Revenue'!C26</f>
        <v>327249709.78999996</v>
      </c>
      <c r="E6" s="187"/>
      <c r="F6" s="187"/>
      <c r="G6" s="187"/>
      <c r="H6" s="392">
        <f>IFERROR(SUM(H12:H18,H22)/SUM(E12:E18,E22),"%")</f>
        <v>0.38199999999999995</v>
      </c>
      <c r="I6" s="187"/>
      <c r="J6" s="187"/>
      <c r="K6" s="187"/>
      <c r="L6" s="392">
        <f>IFERROR(SUM(L12:L18,L22)/SUM(I12:I18,I22),"%")</f>
        <v>0.38200000000000001</v>
      </c>
      <c r="M6" s="187"/>
      <c r="N6" s="187"/>
      <c r="O6" s="187"/>
      <c r="P6" s="187"/>
    </row>
    <row r="7" spans="1:19" ht="20.100000000000001" customHeight="1" x14ac:dyDescent="0.25">
      <c r="A7" s="218"/>
      <c r="B7" s="189"/>
      <c r="C7" s="326"/>
      <c r="D7" s="190"/>
      <c r="E7" s="187"/>
      <c r="F7" s="187"/>
      <c r="G7" s="187"/>
      <c r="H7" s="336"/>
      <c r="I7" s="187"/>
      <c r="J7" s="187"/>
      <c r="K7" s="187"/>
      <c r="L7" s="336"/>
      <c r="M7" s="187"/>
      <c r="N7" s="187"/>
      <c r="O7" s="187"/>
      <c r="P7" s="187"/>
    </row>
    <row r="8" spans="1:19" ht="20.100000000000001" customHeight="1" x14ac:dyDescent="0.25">
      <c r="A8" s="218"/>
      <c r="B8" s="189"/>
      <c r="C8" s="326"/>
      <c r="D8" s="190"/>
      <c r="E8" s="477" t="s">
        <v>172</v>
      </c>
      <c r="F8" s="478"/>
      <c r="G8" s="478"/>
      <c r="H8" s="478"/>
      <c r="I8" s="478"/>
      <c r="J8" s="478"/>
      <c r="K8" s="478"/>
      <c r="L8" s="478"/>
      <c r="M8" s="478"/>
      <c r="N8" s="478"/>
      <c r="O8" s="478"/>
      <c r="P8" s="479"/>
    </row>
    <row r="9" spans="1:19" ht="16.5" customHeight="1" x14ac:dyDescent="0.25">
      <c r="A9" s="219"/>
      <c r="B9" s="466"/>
      <c r="C9" s="467"/>
      <c r="D9" s="220"/>
      <c r="E9" s="472" t="s">
        <v>173</v>
      </c>
      <c r="F9" s="473"/>
      <c r="G9" s="473"/>
      <c r="H9" s="474"/>
      <c r="I9" s="472" t="s">
        <v>174</v>
      </c>
      <c r="J9" s="473"/>
      <c r="K9" s="473"/>
      <c r="L9" s="474"/>
      <c r="M9" s="208" t="s">
        <v>175</v>
      </c>
      <c r="N9" s="208" t="s">
        <v>176</v>
      </c>
      <c r="O9" s="208" t="s">
        <v>177</v>
      </c>
      <c r="P9" s="208" t="s">
        <v>178</v>
      </c>
      <c r="Q9" s="475" t="s">
        <v>179</v>
      </c>
    </row>
    <row r="10" spans="1:19" ht="60.75" customHeight="1" x14ac:dyDescent="0.25">
      <c r="A10" s="219"/>
      <c r="B10" s="221"/>
      <c r="C10" s="327" t="s">
        <v>180</v>
      </c>
      <c r="D10" s="208"/>
      <c r="E10" s="209" t="s">
        <v>181</v>
      </c>
      <c r="F10" s="210" t="s">
        <v>182</v>
      </c>
      <c r="G10" s="210" t="s">
        <v>183</v>
      </c>
      <c r="H10" s="211" t="s">
        <v>184</v>
      </c>
      <c r="I10" s="209" t="s">
        <v>181</v>
      </c>
      <c r="J10" s="210" t="s">
        <v>182</v>
      </c>
      <c r="K10" s="210" t="s">
        <v>183</v>
      </c>
      <c r="L10" s="211" t="s">
        <v>184</v>
      </c>
      <c r="M10" s="208" t="s">
        <v>185</v>
      </c>
      <c r="N10" s="208" t="s">
        <v>185</v>
      </c>
      <c r="O10" s="208" t="s">
        <v>185</v>
      </c>
      <c r="P10" s="208" t="s">
        <v>185</v>
      </c>
      <c r="Q10" s="476"/>
    </row>
    <row r="11" spans="1:19" ht="15.6" x14ac:dyDescent="0.25">
      <c r="A11" s="219"/>
      <c r="B11" s="222" t="s">
        <v>186</v>
      </c>
      <c r="C11" s="328"/>
      <c r="D11" s="200"/>
      <c r="E11" s="203"/>
      <c r="F11" s="198"/>
      <c r="G11" s="198"/>
      <c r="H11" s="204"/>
      <c r="I11" s="203"/>
      <c r="J11" s="198"/>
      <c r="K11" s="198"/>
      <c r="L11" s="204"/>
      <c r="M11" s="200"/>
      <c r="N11" s="200"/>
      <c r="O11" s="200"/>
      <c r="P11" s="200"/>
      <c r="Q11" s="223"/>
    </row>
    <row r="12" spans="1:19" ht="37.5" customHeight="1" x14ac:dyDescent="0.25">
      <c r="A12" s="191"/>
      <c r="B12" s="224"/>
      <c r="C12" s="244" t="s">
        <v>187</v>
      </c>
      <c r="D12" s="201"/>
      <c r="E12" s="214">
        <f>SUM(F12:H12)</f>
        <v>1856407</v>
      </c>
      <c r="F12" s="215">
        <f>0</f>
        <v>0</v>
      </c>
      <c r="G12" s="215">
        <f>1856407*(1-'4b - GF share'!$B$18)</f>
        <v>1147259.5260000001</v>
      </c>
      <c r="H12" s="216">
        <f>1856407-G12</f>
        <v>709147.47399999993</v>
      </c>
      <c r="I12" s="214">
        <f>SUM(J12:L12)</f>
        <v>3749942</v>
      </c>
      <c r="J12" s="215">
        <v>50000</v>
      </c>
      <c r="K12" s="215">
        <f>3749942*(1-'4b - GF share'!$B$18)-50000</f>
        <v>2267464.156</v>
      </c>
      <c r="L12" s="216">
        <f>3749942-K12-J12</f>
        <v>1432477.844</v>
      </c>
      <c r="M12" s="217">
        <v>5681347</v>
      </c>
      <c r="N12" s="217">
        <v>7651381</v>
      </c>
      <c r="O12" s="217">
        <v>9660815</v>
      </c>
      <c r="P12" s="217">
        <v>11710438</v>
      </c>
      <c r="Q12" s="225"/>
      <c r="S12" s="394"/>
    </row>
    <row r="13" spans="1:19" ht="37.5" customHeight="1" x14ac:dyDescent="0.25">
      <c r="A13" s="191"/>
      <c r="B13" s="224"/>
      <c r="C13" s="244" t="s">
        <v>188</v>
      </c>
      <c r="D13" s="201"/>
      <c r="E13" s="214">
        <f>SUM(F13:H13)</f>
        <v>1044388</v>
      </c>
      <c r="F13" s="215">
        <f>0</f>
        <v>0</v>
      </c>
      <c r="G13" s="215">
        <f>(1039526+4862)*(1-'4b - GF share'!$B$18)</f>
        <v>645431.78399999999</v>
      </c>
      <c r="H13" s="216">
        <f>4862+1039526-G13</f>
        <v>398956.21600000001</v>
      </c>
      <c r="I13" s="214">
        <f>SUM(J13:L13)</f>
        <v>2109665</v>
      </c>
      <c r="J13" s="215">
        <v>50000</v>
      </c>
      <c r="K13" s="215">
        <f>2109665*(1-'4b - GF share'!$B$18)-50000</f>
        <v>1253772.97</v>
      </c>
      <c r="L13" s="216">
        <f>2109665-K13-J13</f>
        <v>805892.03</v>
      </c>
      <c r="M13" s="217">
        <v>3196247</v>
      </c>
      <c r="N13" s="217">
        <v>4304560</v>
      </c>
      <c r="O13" s="217">
        <v>5435040</v>
      </c>
      <c r="P13" s="217">
        <v>6588130</v>
      </c>
      <c r="Q13" s="225"/>
      <c r="S13" s="394"/>
    </row>
    <row r="14" spans="1:19" ht="37.5" customHeight="1" x14ac:dyDescent="0.25">
      <c r="A14" s="191"/>
      <c r="B14" s="224"/>
      <c r="C14" s="329" t="s">
        <v>189</v>
      </c>
      <c r="D14" s="201"/>
      <c r="E14" s="214">
        <f>SUM(F14:H14)</f>
        <v>121199</v>
      </c>
      <c r="F14" s="215">
        <f>0</f>
        <v>0</v>
      </c>
      <c r="G14" s="215">
        <f>121199*(1-'4b - GF share'!$B$18)</f>
        <v>74900.982000000004</v>
      </c>
      <c r="H14" s="216">
        <f>121199-G14</f>
        <v>46298.017999999996</v>
      </c>
      <c r="I14" s="214">
        <f>SUM(J14:L14)</f>
        <v>244822</v>
      </c>
      <c r="J14" s="215">
        <v>50000</v>
      </c>
      <c r="K14" s="215">
        <f>244822*(1-'4b - GF share'!$B$18)-50000</f>
        <v>101299.99599999998</v>
      </c>
      <c r="L14" s="216">
        <f>244822-K14-J14</f>
        <v>93522.004000000015</v>
      </c>
      <c r="M14" s="217">
        <v>370917</v>
      </c>
      <c r="N14" s="217">
        <v>499535</v>
      </c>
      <c r="O14" s="217">
        <v>630725</v>
      </c>
      <c r="P14" s="217">
        <v>764538</v>
      </c>
      <c r="Q14" s="225"/>
      <c r="S14" s="394"/>
    </row>
    <row r="15" spans="1:19" ht="37.5" customHeight="1" x14ac:dyDescent="0.25">
      <c r="A15" s="191"/>
      <c r="B15" s="224"/>
      <c r="C15" s="244" t="s">
        <v>190</v>
      </c>
      <c r="D15" s="201"/>
      <c r="E15" s="214">
        <f>SUM(F15:H15)</f>
        <v>671240</v>
      </c>
      <c r="F15" s="215">
        <f>0</f>
        <v>0</v>
      </c>
      <c r="G15" s="215">
        <f>671240*(1-'4b - GF share'!$B$18)</f>
        <v>414826.32</v>
      </c>
      <c r="H15" s="216">
        <f>671240-G15</f>
        <v>256413.68</v>
      </c>
      <c r="I15" s="214">
        <f>SUM(J15:L15)</f>
        <v>1355904</v>
      </c>
      <c r="J15" s="215">
        <v>50000</v>
      </c>
      <c r="K15" s="215">
        <f>1355904*(1-'4b - GF share'!$B$18)-50000</f>
        <v>787948.67200000002</v>
      </c>
      <c r="L15" s="216">
        <f>1355904-K15-J15</f>
        <v>517955.32799999998</v>
      </c>
      <c r="M15" s="217">
        <v>2054261</v>
      </c>
      <c r="N15" s="217">
        <v>2766586</v>
      </c>
      <c r="O15" s="217">
        <v>3493157</v>
      </c>
      <c r="P15" s="217">
        <v>4234260</v>
      </c>
      <c r="Q15" s="225"/>
      <c r="S15" s="394"/>
    </row>
    <row r="16" spans="1:19" ht="37.5" customHeight="1" x14ac:dyDescent="0.25">
      <c r="A16" s="191"/>
      <c r="B16" s="224"/>
      <c r="C16" s="244" t="s">
        <v>191</v>
      </c>
      <c r="D16" s="201"/>
      <c r="E16" s="214">
        <f t="shared" ref="E16:E17" si="0">SUM(F16:H16)</f>
        <v>71488</v>
      </c>
      <c r="F16" s="215">
        <f>0</f>
        <v>0</v>
      </c>
      <c r="G16" s="215">
        <f>71488*(1-'4b - GF share'!$B$18)</f>
        <v>44179.584000000003</v>
      </c>
      <c r="H16" s="216">
        <f>71488-G16</f>
        <v>27308.415999999997</v>
      </c>
      <c r="I16" s="214">
        <f t="shared" ref="I16:I17" si="1">SUM(J16:L16)</f>
        <v>144406</v>
      </c>
      <c r="J16" s="215">
        <f>0</f>
        <v>0</v>
      </c>
      <c r="K16" s="215">
        <f>144406*(1-'4b - GF share'!$B$18)</f>
        <v>89242.907999999996</v>
      </c>
      <c r="L16" s="216">
        <f>144406-K16-J16</f>
        <v>55163.092000000004</v>
      </c>
      <c r="M16" s="217">
        <v>218782</v>
      </c>
      <c r="N16" s="217">
        <v>294646</v>
      </c>
      <c r="O16" s="217">
        <v>372027</v>
      </c>
      <c r="P16" s="217">
        <v>450956</v>
      </c>
      <c r="Q16" s="225"/>
      <c r="S16" s="394"/>
    </row>
    <row r="17" spans="1:19" ht="37.5" customHeight="1" x14ac:dyDescent="0.25">
      <c r="A17" s="191"/>
      <c r="B17" s="224"/>
      <c r="C17" s="244" t="s">
        <v>192</v>
      </c>
      <c r="D17" s="201"/>
      <c r="E17" s="214">
        <f t="shared" si="0"/>
        <v>60599</v>
      </c>
      <c r="F17" s="215">
        <f>0</f>
        <v>0</v>
      </c>
      <c r="G17" s="215">
        <f>60599*(1-'4b - GF share'!$B$18)</f>
        <v>37450.182000000001</v>
      </c>
      <c r="H17" s="216">
        <f>60599-G17</f>
        <v>23148.817999999999</v>
      </c>
      <c r="I17" s="214">
        <f t="shared" si="1"/>
        <v>122411</v>
      </c>
      <c r="J17" s="215">
        <f>0</f>
        <v>0</v>
      </c>
      <c r="K17" s="215">
        <f>122411*(1-'4b - GF share'!$B$18)</f>
        <v>75649.997999999992</v>
      </c>
      <c r="L17" s="216">
        <f>122411-K17-J17</f>
        <v>46761.002000000008</v>
      </c>
      <c r="M17" s="217">
        <v>185459</v>
      </c>
      <c r="N17" s="217">
        <v>249767</v>
      </c>
      <c r="O17" s="217">
        <v>315362</v>
      </c>
      <c r="P17" s="217">
        <v>382269</v>
      </c>
      <c r="Q17" s="225"/>
      <c r="S17" s="394"/>
    </row>
    <row r="18" spans="1:19" ht="17.399999999999999" x14ac:dyDescent="0.25">
      <c r="A18" s="191"/>
      <c r="B18" s="224"/>
      <c r="C18" s="244" t="s">
        <v>193</v>
      </c>
      <c r="D18" s="201"/>
      <c r="E18" s="214">
        <f t="shared" ref="E18:E20" si="2">SUM(F18:H18)</f>
        <v>730481</v>
      </c>
      <c r="F18" s="215">
        <f>0</f>
        <v>0</v>
      </c>
      <c r="G18" s="215">
        <f>730481*(1-'4b - GF share'!$B$18)</f>
        <v>451437.25799999997</v>
      </c>
      <c r="H18" s="216">
        <f>730481-G18</f>
        <v>279043.74200000003</v>
      </c>
      <c r="I18" s="214">
        <f t="shared" ref="I18:I20" si="3">SUM(J18:L18)</f>
        <v>1482876</v>
      </c>
      <c r="J18" s="215">
        <v>50000</v>
      </c>
      <c r="K18" s="215">
        <f>1482876*(1-'4b - GF share'!$B$18)-50000</f>
        <v>866417.36800000002</v>
      </c>
      <c r="L18" s="216">
        <f>1482876-K18-J18</f>
        <v>566458.63199999998</v>
      </c>
      <c r="M18" s="217">
        <v>2257844</v>
      </c>
      <c r="N18" s="217">
        <v>3056060</v>
      </c>
      <c r="O18" s="217">
        <v>3878223</v>
      </c>
      <c r="P18" s="217">
        <v>4725050</v>
      </c>
      <c r="Q18" s="225"/>
    </row>
    <row r="19" spans="1:19" ht="37.5" customHeight="1" x14ac:dyDescent="0.25">
      <c r="A19" s="191"/>
      <c r="B19" s="224"/>
      <c r="C19" s="244" t="s">
        <v>194</v>
      </c>
      <c r="D19" s="201"/>
      <c r="E19" s="214">
        <f t="shared" ref="E19" si="4">SUM(F19:H19)</f>
        <v>0</v>
      </c>
      <c r="F19" s="215">
        <f>0</f>
        <v>0</v>
      </c>
      <c r="G19" s="215">
        <f>0</f>
        <v>0</v>
      </c>
      <c r="H19" s="322"/>
      <c r="I19" s="214">
        <f t="shared" ref="I19" si="5">SUM(J19:L19)</f>
        <v>0</v>
      </c>
      <c r="J19" s="215">
        <f>0</f>
        <v>0</v>
      </c>
      <c r="K19" s="215">
        <f>0</f>
        <v>0</v>
      </c>
      <c r="L19" s="322"/>
      <c r="M19" s="217">
        <f>0</f>
        <v>0</v>
      </c>
      <c r="N19" s="217">
        <f>0</f>
        <v>0</v>
      </c>
      <c r="O19" s="217">
        <f>0</f>
        <v>0</v>
      </c>
      <c r="P19" s="217">
        <f>0</f>
        <v>0</v>
      </c>
      <c r="Q19" s="225"/>
    </row>
    <row r="20" spans="1:19" ht="37.5" customHeight="1" x14ac:dyDescent="0.25">
      <c r="A20" s="191"/>
      <c r="B20" s="224"/>
      <c r="C20" s="244" t="s">
        <v>194</v>
      </c>
      <c r="D20" s="201"/>
      <c r="E20" s="214">
        <f t="shared" si="2"/>
        <v>0</v>
      </c>
      <c r="F20" s="215">
        <f>0</f>
        <v>0</v>
      </c>
      <c r="G20" s="215">
        <f>0</f>
        <v>0</v>
      </c>
      <c r="H20" s="322"/>
      <c r="I20" s="214">
        <f t="shared" si="3"/>
        <v>0</v>
      </c>
      <c r="J20" s="215">
        <f>0</f>
        <v>0</v>
      </c>
      <c r="K20" s="215">
        <f>0</f>
        <v>0</v>
      </c>
      <c r="L20" s="322"/>
      <c r="M20" s="217">
        <f>0</f>
        <v>0</v>
      </c>
      <c r="N20" s="217">
        <f>0</f>
        <v>0</v>
      </c>
      <c r="O20" s="217">
        <f>0</f>
        <v>0</v>
      </c>
      <c r="P20" s="217">
        <f>0</f>
        <v>0</v>
      </c>
      <c r="Q20" s="225"/>
    </row>
    <row r="21" spans="1:19" ht="20.100000000000001" customHeight="1" x14ac:dyDescent="0.25">
      <c r="A21" s="191"/>
      <c r="B21" s="222" t="s">
        <v>195</v>
      </c>
      <c r="C21" s="330"/>
      <c r="D21" s="202"/>
      <c r="E21" s="205"/>
      <c r="F21" s="199"/>
      <c r="G21" s="199"/>
      <c r="H21" s="206"/>
      <c r="I21" s="205"/>
      <c r="J21" s="199"/>
      <c r="K21" s="199"/>
      <c r="L21" s="206"/>
      <c r="M21" s="207"/>
      <c r="N21" s="207"/>
      <c r="O21" s="207"/>
      <c r="P21" s="207"/>
      <c r="Q21" s="223"/>
    </row>
    <row r="22" spans="1:19" ht="37.5" customHeight="1" x14ac:dyDescent="0.25">
      <c r="A22" s="191"/>
      <c r="B22" s="221"/>
      <c r="C22" s="244" t="s">
        <v>196</v>
      </c>
      <c r="D22" s="201"/>
      <c r="E22" s="214">
        <f t="shared" ref="E22:E26" si="6">SUM(F22:H22)</f>
        <v>4718</v>
      </c>
      <c r="F22" s="215">
        <f>4718*(1-'4b - GF share'!$B$18)</f>
        <v>2915.7240000000002</v>
      </c>
      <c r="G22" s="215">
        <v>0</v>
      </c>
      <c r="H22" s="216">
        <f>4718-F22</f>
        <v>1802.2759999999998</v>
      </c>
      <c r="I22" s="214">
        <f t="shared" ref="I22:I26" si="7">SUM(J22:L22)</f>
        <v>9690</v>
      </c>
      <c r="J22" s="215">
        <f>9690*(1-'4b - GF share'!$B$18)</f>
        <v>5988.42</v>
      </c>
      <c r="K22" s="215">
        <f>0</f>
        <v>0</v>
      </c>
      <c r="L22" s="216">
        <f>9690-J22</f>
        <v>3701.58</v>
      </c>
      <c r="M22" s="217">
        <v>14927</v>
      </c>
      <c r="N22" s="217">
        <v>20446</v>
      </c>
      <c r="O22" s="217">
        <v>26260</v>
      </c>
      <c r="P22" s="217">
        <v>32386</v>
      </c>
      <c r="Q22" s="225"/>
    </row>
    <row r="23" spans="1:19" ht="37.5" customHeight="1" x14ac:dyDescent="0.25">
      <c r="A23" s="191"/>
      <c r="B23" s="221"/>
      <c r="C23" s="244" t="s">
        <v>197</v>
      </c>
      <c r="D23" s="201"/>
      <c r="E23" s="215">
        <f>0</f>
        <v>0</v>
      </c>
      <c r="F23" s="215">
        <f>0</f>
        <v>0</v>
      </c>
      <c r="G23" s="215">
        <f>0</f>
        <v>0</v>
      </c>
      <c r="H23" s="322"/>
      <c r="I23" s="215">
        <f>0</f>
        <v>0</v>
      </c>
      <c r="J23" s="215">
        <f>0</f>
        <v>0</v>
      </c>
      <c r="K23" s="215">
        <f>0</f>
        <v>0</v>
      </c>
      <c r="L23" s="322"/>
      <c r="M23" s="217">
        <f>0</f>
        <v>0</v>
      </c>
      <c r="N23" s="217">
        <f>0</f>
        <v>0</v>
      </c>
      <c r="O23" s="215">
        <f>0</f>
        <v>0</v>
      </c>
      <c r="P23" s="215">
        <f>0</f>
        <v>0</v>
      </c>
      <c r="Q23" s="225"/>
    </row>
    <row r="24" spans="1:19" ht="37.5" customHeight="1" x14ac:dyDescent="0.25">
      <c r="A24" s="191"/>
      <c r="B24" s="221"/>
      <c r="C24" s="244" t="s">
        <v>198</v>
      </c>
      <c r="D24" s="201"/>
      <c r="E24" s="214">
        <f t="shared" si="6"/>
        <v>192600</v>
      </c>
      <c r="F24" s="215">
        <f>0</f>
        <v>0</v>
      </c>
      <c r="G24" s="215">
        <v>192600</v>
      </c>
      <c r="H24" s="322"/>
      <c r="I24" s="214">
        <f t="shared" si="7"/>
        <v>385200</v>
      </c>
      <c r="J24" s="215">
        <f>0</f>
        <v>0</v>
      </c>
      <c r="K24" s="215">
        <f>192600+192600</f>
        <v>385200</v>
      </c>
      <c r="L24" s="322"/>
      <c r="M24" s="217">
        <f>K24+192600</f>
        <v>577800</v>
      </c>
      <c r="N24" s="217">
        <f>M24+192600</f>
        <v>770400</v>
      </c>
      <c r="O24" s="217">
        <f t="shared" ref="O24:P24" si="8">N24+192600</f>
        <v>963000</v>
      </c>
      <c r="P24" s="217">
        <f t="shared" si="8"/>
        <v>1155600</v>
      </c>
      <c r="Q24" s="225"/>
    </row>
    <row r="25" spans="1:19" ht="37.5" customHeight="1" x14ac:dyDescent="0.25">
      <c r="A25" s="191"/>
      <c r="B25" s="221"/>
      <c r="C25" s="244" t="s">
        <v>199</v>
      </c>
      <c r="D25" s="201"/>
      <c r="E25" s="214">
        <f t="shared" ref="E25" si="9">SUM(F25:H25)</f>
        <v>179207</v>
      </c>
      <c r="F25" s="215">
        <f>0</f>
        <v>0</v>
      </c>
      <c r="G25" s="215">
        <v>179207</v>
      </c>
      <c r="H25" s="322"/>
      <c r="I25" s="214">
        <f t="shared" ref="I25" si="10">SUM(J25:L25)</f>
        <v>1600500</v>
      </c>
      <c r="J25" s="215">
        <v>150000</v>
      </c>
      <c r="K25" s="215">
        <f>1600500-150000</f>
        <v>1450500</v>
      </c>
      <c r="L25" s="322"/>
      <c r="M25" s="217">
        <f>I25+156720</f>
        <v>1757220</v>
      </c>
      <c r="N25" s="217">
        <f>M25</f>
        <v>1757220</v>
      </c>
      <c r="O25" s="217">
        <f>N25</f>
        <v>1757220</v>
      </c>
      <c r="P25" s="217">
        <f>O25</f>
        <v>1757220</v>
      </c>
      <c r="Q25" s="225"/>
    </row>
    <row r="26" spans="1:19" ht="37.5" customHeight="1" x14ac:dyDescent="0.25">
      <c r="A26" s="191"/>
      <c r="B26" s="221"/>
      <c r="C26" s="244" t="s">
        <v>194</v>
      </c>
      <c r="D26" s="201"/>
      <c r="E26" s="214">
        <f t="shared" si="6"/>
        <v>0</v>
      </c>
      <c r="F26" s="215">
        <f>0</f>
        <v>0</v>
      </c>
      <c r="G26" s="215">
        <f>0</f>
        <v>0</v>
      </c>
      <c r="H26" s="322"/>
      <c r="I26" s="214">
        <f t="shared" si="7"/>
        <v>0</v>
      </c>
      <c r="J26" s="215">
        <f>0</f>
        <v>0</v>
      </c>
      <c r="K26" s="215">
        <f>0</f>
        <v>0</v>
      </c>
      <c r="L26" s="322"/>
      <c r="M26" s="217">
        <f>0</f>
        <v>0</v>
      </c>
      <c r="N26" s="217">
        <f>0</f>
        <v>0</v>
      </c>
      <c r="O26" s="217">
        <f>0</f>
        <v>0</v>
      </c>
      <c r="P26" s="217">
        <f>0</f>
        <v>0</v>
      </c>
      <c r="Q26" s="225"/>
    </row>
    <row r="27" spans="1:19" ht="20.100000000000001" customHeight="1" x14ac:dyDescent="0.25">
      <c r="A27" s="191"/>
      <c r="B27" s="222" t="s">
        <v>200</v>
      </c>
      <c r="C27" s="330"/>
      <c r="D27" s="202"/>
      <c r="E27" s="205"/>
      <c r="F27" s="199"/>
      <c r="G27" s="199"/>
      <c r="H27" s="206"/>
      <c r="I27" s="205"/>
      <c r="J27" s="199"/>
      <c r="K27" s="199"/>
      <c r="L27" s="206"/>
      <c r="M27" s="207"/>
      <c r="N27" s="207"/>
      <c r="O27" s="207"/>
      <c r="P27" s="207"/>
      <c r="Q27" s="223"/>
    </row>
    <row r="28" spans="1:19" ht="37.5" customHeight="1" x14ac:dyDescent="0.25">
      <c r="A28" s="191"/>
      <c r="B28" s="221"/>
      <c r="C28" s="329" t="s">
        <v>201</v>
      </c>
      <c r="D28" s="201"/>
      <c r="E28" s="214">
        <v>3600000</v>
      </c>
      <c r="F28" s="215">
        <f>0</f>
        <v>0</v>
      </c>
      <c r="G28" s="215">
        <v>3600000</v>
      </c>
      <c r="H28" s="322"/>
      <c r="I28" s="214">
        <f t="shared" ref="I28:I29" si="11">SUM(J28:L28)</f>
        <v>7645161.8300000001</v>
      </c>
      <c r="J28" s="215">
        <v>0</v>
      </c>
      <c r="K28" s="215">
        <f>G28+4045161.83</f>
        <v>7645161.8300000001</v>
      </c>
      <c r="L28" s="322"/>
      <c r="M28" s="217">
        <f>I28</f>
        <v>7645161.8300000001</v>
      </c>
      <c r="N28" s="217">
        <f>M28</f>
        <v>7645161.8300000001</v>
      </c>
      <c r="O28" s="217">
        <f>N28</f>
        <v>7645161.8300000001</v>
      </c>
      <c r="P28" s="217">
        <f>O28</f>
        <v>7645161.8300000001</v>
      </c>
      <c r="Q28" s="225"/>
      <c r="S28" s="394"/>
    </row>
    <row r="29" spans="1:19" ht="37.5" customHeight="1" x14ac:dyDescent="0.25">
      <c r="A29" s="191"/>
      <c r="B29" s="221"/>
      <c r="C29" s="329" t="s">
        <v>202</v>
      </c>
      <c r="D29" s="201"/>
      <c r="E29" s="214">
        <f t="shared" ref="E29" si="12">SUM(F29:H29)</f>
        <v>0</v>
      </c>
      <c r="F29" s="215">
        <f>0</f>
        <v>0</v>
      </c>
      <c r="G29" s="215">
        <f>0</f>
        <v>0</v>
      </c>
      <c r="H29" s="322"/>
      <c r="I29" s="214">
        <f t="shared" si="11"/>
        <v>0</v>
      </c>
      <c r="J29" s="215">
        <f>0</f>
        <v>0</v>
      </c>
      <c r="K29" s="215">
        <f>0</f>
        <v>0</v>
      </c>
      <c r="L29" s="322"/>
      <c r="M29" s="217">
        <f>0</f>
        <v>0</v>
      </c>
      <c r="N29" s="217">
        <f>0</f>
        <v>0</v>
      </c>
      <c r="O29" s="217">
        <f>0</f>
        <v>0</v>
      </c>
      <c r="P29" s="217">
        <f>0</f>
        <v>0</v>
      </c>
      <c r="Q29" s="225"/>
    </row>
    <row r="30" spans="1:19" ht="37.5" customHeight="1" x14ac:dyDescent="0.25">
      <c r="A30" s="191"/>
      <c r="B30" s="224"/>
      <c r="C30" s="244" t="s">
        <v>194</v>
      </c>
      <c r="D30" s="201"/>
      <c r="E30" s="214">
        <f>SUM(F30:H30)</f>
        <v>0</v>
      </c>
      <c r="F30" s="215">
        <f>0</f>
        <v>0</v>
      </c>
      <c r="G30" s="215">
        <f>0</f>
        <v>0</v>
      </c>
      <c r="H30" s="322"/>
      <c r="I30" s="214">
        <f>SUM(J30:L30)</f>
        <v>0</v>
      </c>
      <c r="J30" s="215">
        <f>0</f>
        <v>0</v>
      </c>
      <c r="K30" s="215">
        <f>0</f>
        <v>0</v>
      </c>
      <c r="L30" s="322"/>
      <c r="M30" s="217">
        <f>0</f>
        <v>0</v>
      </c>
      <c r="N30" s="217">
        <f>0</f>
        <v>0</v>
      </c>
      <c r="O30" s="217">
        <f>0</f>
        <v>0</v>
      </c>
      <c r="P30" s="217">
        <f>0</f>
        <v>0</v>
      </c>
      <c r="Q30" s="225"/>
    </row>
    <row r="31" spans="1:19" ht="37.5" customHeight="1" x14ac:dyDescent="0.25">
      <c r="A31" s="191"/>
      <c r="B31" s="224"/>
      <c r="C31" s="244" t="s">
        <v>194</v>
      </c>
      <c r="D31" s="201"/>
      <c r="E31" s="214">
        <f>SUM(F31:H31)</f>
        <v>0</v>
      </c>
      <c r="F31" s="215">
        <f>0</f>
        <v>0</v>
      </c>
      <c r="G31" s="215">
        <f>0</f>
        <v>0</v>
      </c>
      <c r="H31" s="322"/>
      <c r="I31" s="214">
        <f>SUM(J31:L31)</f>
        <v>0</v>
      </c>
      <c r="J31" s="215">
        <f>0</f>
        <v>0</v>
      </c>
      <c r="K31" s="215">
        <f>0</f>
        <v>0</v>
      </c>
      <c r="L31" s="322"/>
      <c r="M31" s="217">
        <f>0</f>
        <v>0</v>
      </c>
      <c r="N31" s="217">
        <f>0</f>
        <v>0</v>
      </c>
      <c r="O31" s="217">
        <f>0</f>
        <v>0</v>
      </c>
      <c r="P31" s="217">
        <f>0</f>
        <v>0</v>
      </c>
      <c r="Q31" s="225"/>
    </row>
    <row r="32" spans="1:19" ht="20.100000000000001" customHeight="1" x14ac:dyDescent="0.25">
      <c r="A32" s="191"/>
      <c r="B32" s="222" t="s">
        <v>203</v>
      </c>
      <c r="C32" s="330"/>
      <c r="D32" s="202"/>
      <c r="E32" s="205"/>
      <c r="F32" s="199"/>
      <c r="G32" s="199"/>
      <c r="H32" s="206"/>
      <c r="I32" s="205"/>
      <c r="J32" s="199"/>
      <c r="K32" s="199"/>
      <c r="L32" s="206"/>
      <c r="M32" s="207"/>
      <c r="N32" s="207"/>
      <c r="O32" s="207"/>
      <c r="P32" s="207"/>
      <c r="Q32" s="223"/>
    </row>
    <row r="33" spans="1:17" ht="37.5" customHeight="1" x14ac:dyDescent="0.25">
      <c r="A33" s="191"/>
      <c r="B33" s="212"/>
      <c r="C33" s="244" t="s">
        <v>204</v>
      </c>
      <c r="D33" s="201"/>
      <c r="E33" s="214">
        <f t="shared" ref="E33" si="13">SUM(F33:H33)</f>
        <v>1800000</v>
      </c>
      <c r="F33" s="215">
        <f>0</f>
        <v>0</v>
      </c>
      <c r="G33" s="215">
        <v>1800000</v>
      </c>
      <c r="H33" s="322"/>
      <c r="I33" s="214">
        <f t="shared" ref="I33" si="14">SUM(J33:L33)</f>
        <v>1800000</v>
      </c>
      <c r="J33" s="215">
        <v>0</v>
      </c>
      <c r="K33" s="215">
        <v>1800000</v>
      </c>
      <c r="L33" s="322"/>
      <c r="M33" s="217">
        <f>K33</f>
        <v>1800000</v>
      </c>
      <c r="N33" s="217">
        <f>M33</f>
        <v>1800000</v>
      </c>
      <c r="O33" s="217">
        <f>N33</f>
        <v>1800000</v>
      </c>
      <c r="P33" s="217">
        <f>O33</f>
        <v>1800000</v>
      </c>
      <c r="Q33" s="225"/>
    </row>
    <row r="34" spans="1:17" ht="37.5" customHeight="1" x14ac:dyDescent="0.25">
      <c r="A34" s="191"/>
      <c r="B34" s="212"/>
      <c r="C34" s="244" t="s">
        <v>205</v>
      </c>
      <c r="D34" s="201"/>
      <c r="E34" s="214">
        <f t="shared" ref="E34" si="15">SUM(F34:H34)</f>
        <v>200000</v>
      </c>
      <c r="F34" s="215">
        <v>200000</v>
      </c>
      <c r="G34" s="215">
        <f>0</f>
        <v>0</v>
      </c>
      <c r="H34" s="322"/>
      <c r="I34" s="214">
        <v>200000</v>
      </c>
      <c r="J34" s="215">
        <v>200000</v>
      </c>
      <c r="K34" s="215">
        <f>0</f>
        <v>0</v>
      </c>
      <c r="L34" s="322"/>
      <c r="M34" s="217">
        <f>0</f>
        <v>0</v>
      </c>
      <c r="N34" s="217">
        <f>0</f>
        <v>0</v>
      </c>
      <c r="O34" s="217">
        <f>0</f>
        <v>0</v>
      </c>
      <c r="P34" s="217">
        <f>0</f>
        <v>0</v>
      </c>
      <c r="Q34" s="225"/>
    </row>
    <row r="35" spans="1:17" ht="37.5" customHeight="1" x14ac:dyDescent="0.25">
      <c r="A35" s="191"/>
      <c r="B35" s="212"/>
      <c r="C35" s="244" t="s">
        <v>194</v>
      </c>
      <c r="D35" s="201"/>
      <c r="E35" s="214">
        <f t="shared" ref="E35:E37" si="16">SUM(F35:H35)</f>
        <v>0</v>
      </c>
      <c r="F35" s="215">
        <f>0</f>
        <v>0</v>
      </c>
      <c r="G35" s="215">
        <f>0</f>
        <v>0</v>
      </c>
      <c r="H35" s="322"/>
      <c r="I35" s="214">
        <f t="shared" ref="I35:I37" si="17">SUM(J35:L35)</f>
        <v>0</v>
      </c>
      <c r="J35" s="215">
        <f>0</f>
        <v>0</v>
      </c>
      <c r="K35" s="215">
        <f>0</f>
        <v>0</v>
      </c>
      <c r="L35" s="322"/>
      <c r="M35" s="217">
        <f>0</f>
        <v>0</v>
      </c>
      <c r="N35" s="217">
        <f>0</f>
        <v>0</v>
      </c>
      <c r="O35" s="217">
        <f>0</f>
        <v>0</v>
      </c>
      <c r="P35" s="217">
        <f>0</f>
        <v>0</v>
      </c>
      <c r="Q35" s="225"/>
    </row>
    <row r="36" spans="1:17" ht="37.5" customHeight="1" x14ac:dyDescent="0.25">
      <c r="A36" s="191"/>
      <c r="B36" s="212"/>
      <c r="C36" s="244" t="s">
        <v>194</v>
      </c>
      <c r="D36" s="201"/>
      <c r="E36" s="214">
        <f t="shared" si="16"/>
        <v>0</v>
      </c>
      <c r="F36" s="215">
        <f>0</f>
        <v>0</v>
      </c>
      <c r="G36" s="215">
        <f>0</f>
        <v>0</v>
      </c>
      <c r="H36" s="322"/>
      <c r="I36" s="214">
        <f t="shared" si="17"/>
        <v>0</v>
      </c>
      <c r="J36" s="215">
        <f>0</f>
        <v>0</v>
      </c>
      <c r="K36" s="215">
        <f>0</f>
        <v>0</v>
      </c>
      <c r="L36" s="322"/>
      <c r="M36" s="217">
        <f>0</f>
        <v>0</v>
      </c>
      <c r="N36" s="217">
        <f>0</f>
        <v>0</v>
      </c>
      <c r="O36" s="217">
        <f>0</f>
        <v>0</v>
      </c>
      <c r="P36" s="217">
        <f>0</f>
        <v>0</v>
      </c>
      <c r="Q36" s="225"/>
    </row>
    <row r="37" spans="1:17" ht="37.5" customHeight="1" x14ac:dyDescent="0.25">
      <c r="A37" s="191"/>
      <c r="B37" s="212"/>
      <c r="C37" s="244" t="s">
        <v>194</v>
      </c>
      <c r="D37" s="201"/>
      <c r="E37" s="214">
        <f t="shared" si="16"/>
        <v>0</v>
      </c>
      <c r="F37" s="215">
        <f>0</f>
        <v>0</v>
      </c>
      <c r="G37" s="215">
        <f>0</f>
        <v>0</v>
      </c>
      <c r="H37" s="322"/>
      <c r="I37" s="214">
        <f t="shared" si="17"/>
        <v>0</v>
      </c>
      <c r="J37" s="215">
        <f>0</f>
        <v>0</v>
      </c>
      <c r="K37" s="215">
        <f>0</f>
        <v>0</v>
      </c>
      <c r="L37" s="322"/>
      <c r="M37" s="217">
        <f>0</f>
        <v>0</v>
      </c>
      <c r="N37" s="217">
        <f>0</f>
        <v>0</v>
      </c>
      <c r="O37" s="217">
        <f>0</f>
        <v>0</v>
      </c>
      <c r="P37" s="217">
        <f>0</f>
        <v>0</v>
      </c>
      <c r="Q37" s="225"/>
    </row>
    <row r="38" spans="1:17" ht="20.100000000000001" customHeight="1" x14ac:dyDescent="0.25">
      <c r="A38" s="191"/>
      <c r="B38" s="222" t="s">
        <v>206</v>
      </c>
      <c r="C38" s="330"/>
      <c r="D38" s="202"/>
      <c r="E38" s="205"/>
      <c r="F38" s="199"/>
      <c r="G38" s="199"/>
      <c r="H38" s="206"/>
      <c r="I38" s="205"/>
      <c r="J38" s="199"/>
      <c r="K38" s="199"/>
      <c r="L38" s="206"/>
      <c r="M38" s="207"/>
      <c r="N38" s="207"/>
      <c r="O38" s="207"/>
      <c r="P38" s="207"/>
      <c r="Q38" s="223"/>
    </row>
    <row r="39" spans="1:17" ht="37.5" customHeight="1" x14ac:dyDescent="0.25">
      <c r="A39" s="191"/>
      <c r="B39" s="224"/>
      <c r="C39" s="244" t="s">
        <v>207</v>
      </c>
      <c r="D39" s="201"/>
      <c r="E39" s="214">
        <f t="shared" ref="E39:E42" si="18">SUM(F39:H39)</f>
        <v>445000</v>
      </c>
      <c r="F39" s="215">
        <f>0</f>
        <v>0</v>
      </c>
      <c r="G39" s="215">
        <v>445000</v>
      </c>
      <c r="H39" s="322"/>
      <c r="I39" s="214">
        <f t="shared" ref="I39:I42" si="19">SUM(J39:L39)</f>
        <v>445000</v>
      </c>
      <c r="J39" s="215">
        <f>0</f>
        <v>0</v>
      </c>
      <c r="K39" s="215">
        <f>G39</f>
        <v>445000</v>
      </c>
      <c r="L39" s="322"/>
      <c r="M39" s="217">
        <f>0</f>
        <v>0</v>
      </c>
      <c r="N39" s="217">
        <f>0</f>
        <v>0</v>
      </c>
      <c r="O39" s="217">
        <f>0</f>
        <v>0</v>
      </c>
      <c r="P39" s="217">
        <f>0</f>
        <v>0</v>
      </c>
      <c r="Q39" s="225"/>
    </row>
    <row r="40" spans="1:17" ht="37.5" customHeight="1" x14ac:dyDescent="0.25">
      <c r="A40" s="191"/>
      <c r="B40" s="224"/>
      <c r="C40" s="244" t="s">
        <v>194</v>
      </c>
      <c r="D40" s="201"/>
      <c r="E40" s="214">
        <f t="shared" si="18"/>
        <v>0</v>
      </c>
      <c r="F40" s="215">
        <f>0</f>
        <v>0</v>
      </c>
      <c r="G40" s="215">
        <f>0</f>
        <v>0</v>
      </c>
      <c r="H40" s="322"/>
      <c r="I40" s="214">
        <f t="shared" si="19"/>
        <v>0</v>
      </c>
      <c r="J40" s="215">
        <f>0</f>
        <v>0</v>
      </c>
      <c r="K40" s="215">
        <f>0</f>
        <v>0</v>
      </c>
      <c r="L40" s="322"/>
      <c r="M40" s="217">
        <f>0</f>
        <v>0</v>
      </c>
      <c r="N40" s="217">
        <f>0</f>
        <v>0</v>
      </c>
      <c r="O40" s="217">
        <f>0</f>
        <v>0</v>
      </c>
      <c r="P40" s="217">
        <f>0</f>
        <v>0</v>
      </c>
      <c r="Q40" s="225"/>
    </row>
    <row r="41" spans="1:17" ht="37.5" customHeight="1" x14ac:dyDescent="0.25">
      <c r="A41" s="191"/>
      <c r="B41" s="224"/>
      <c r="C41" s="244" t="s">
        <v>194</v>
      </c>
      <c r="D41" s="201"/>
      <c r="E41" s="214">
        <f t="shared" ref="E41" si="20">SUM(F41:H41)</f>
        <v>0</v>
      </c>
      <c r="F41" s="215">
        <f>0</f>
        <v>0</v>
      </c>
      <c r="G41" s="215">
        <f>0</f>
        <v>0</v>
      </c>
      <c r="H41" s="322"/>
      <c r="I41" s="214">
        <f t="shared" ref="I41" si="21">SUM(J41:L41)</f>
        <v>0</v>
      </c>
      <c r="J41" s="215">
        <f>0</f>
        <v>0</v>
      </c>
      <c r="K41" s="215">
        <f>0</f>
        <v>0</v>
      </c>
      <c r="L41" s="322"/>
      <c r="M41" s="217">
        <f>0</f>
        <v>0</v>
      </c>
      <c r="N41" s="217">
        <f>0</f>
        <v>0</v>
      </c>
      <c r="O41" s="217">
        <f>0</f>
        <v>0</v>
      </c>
      <c r="P41" s="217">
        <f>0</f>
        <v>0</v>
      </c>
      <c r="Q41" s="225"/>
    </row>
    <row r="42" spans="1:17" ht="37.5" customHeight="1" x14ac:dyDescent="0.25">
      <c r="A42" s="191"/>
      <c r="B42" s="224"/>
      <c r="C42" s="244" t="s">
        <v>194</v>
      </c>
      <c r="D42" s="201"/>
      <c r="E42" s="214">
        <f t="shared" si="18"/>
        <v>0</v>
      </c>
      <c r="F42" s="215">
        <f>0</f>
        <v>0</v>
      </c>
      <c r="G42" s="215">
        <f>0</f>
        <v>0</v>
      </c>
      <c r="H42" s="322"/>
      <c r="I42" s="214">
        <f t="shared" si="19"/>
        <v>0</v>
      </c>
      <c r="J42" s="215">
        <f>0</f>
        <v>0</v>
      </c>
      <c r="K42" s="215">
        <f>0</f>
        <v>0</v>
      </c>
      <c r="L42" s="322"/>
      <c r="M42" s="217">
        <f>0</f>
        <v>0</v>
      </c>
      <c r="N42" s="217">
        <f>0</f>
        <v>0</v>
      </c>
      <c r="O42" s="217">
        <f>0</f>
        <v>0</v>
      </c>
      <c r="P42" s="217">
        <f>0</f>
        <v>0</v>
      </c>
      <c r="Q42" s="225"/>
    </row>
    <row r="43" spans="1:17" ht="37.5" customHeight="1" x14ac:dyDescent="0.25">
      <c r="A43" s="191"/>
      <c r="B43" s="224"/>
      <c r="C43" s="244" t="s">
        <v>194</v>
      </c>
      <c r="D43" s="201"/>
      <c r="E43" s="214">
        <f t="shared" ref="E43" si="22">SUM(F43:H43)</f>
        <v>0</v>
      </c>
      <c r="F43" s="215">
        <f>0</f>
        <v>0</v>
      </c>
      <c r="G43" s="215">
        <f>0</f>
        <v>0</v>
      </c>
      <c r="H43" s="322"/>
      <c r="I43" s="214">
        <f t="shared" ref="I43" si="23">SUM(J43:L43)</f>
        <v>0</v>
      </c>
      <c r="J43" s="215">
        <f>0</f>
        <v>0</v>
      </c>
      <c r="K43" s="215">
        <f>0</f>
        <v>0</v>
      </c>
      <c r="L43" s="322"/>
      <c r="M43" s="217">
        <f>0</f>
        <v>0</v>
      </c>
      <c r="N43" s="217">
        <f>0</f>
        <v>0</v>
      </c>
      <c r="O43" s="217">
        <f>0</f>
        <v>0</v>
      </c>
      <c r="P43" s="217">
        <f>0</f>
        <v>0</v>
      </c>
      <c r="Q43" s="225"/>
    </row>
    <row r="44" spans="1:17" ht="20.100000000000001" customHeight="1" x14ac:dyDescent="0.25">
      <c r="A44" s="191"/>
      <c r="B44" s="222" t="s">
        <v>208</v>
      </c>
      <c r="C44" s="330"/>
      <c r="D44" s="202"/>
      <c r="E44" s="205"/>
      <c r="F44" s="199"/>
      <c r="G44" s="199"/>
      <c r="H44" s="206"/>
      <c r="I44" s="205"/>
      <c r="J44" s="199"/>
      <c r="K44" s="199"/>
      <c r="L44" s="206"/>
      <c r="M44" s="207"/>
      <c r="N44" s="207"/>
      <c r="O44" s="207"/>
      <c r="P44" s="207"/>
      <c r="Q44" s="223"/>
    </row>
    <row r="45" spans="1:17" ht="37.5" customHeight="1" x14ac:dyDescent="0.25">
      <c r="A45" s="191"/>
      <c r="B45" s="224"/>
      <c r="C45" s="244" t="s">
        <v>194</v>
      </c>
      <c r="D45" s="201"/>
      <c r="E45" s="214">
        <f t="shared" ref="E45:E46" si="24">SUM(F45:H45)</f>
        <v>0</v>
      </c>
      <c r="F45" s="215">
        <f>0</f>
        <v>0</v>
      </c>
      <c r="G45" s="215">
        <f>0</f>
        <v>0</v>
      </c>
      <c r="H45" s="322"/>
      <c r="I45" s="214">
        <f t="shared" ref="I45:I46" si="25">SUM(J45:L45)</f>
        <v>0</v>
      </c>
      <c r="J45" s="215">
        <f>0</f>
        <v>0</v>
      </c>
      <c r="K45" s="215">
        <f>0</f>
        <v>0</v>
      </c>
      <c r="L45" s="322"/>
      <c r="M45" s="217">
        <f>0</f>
        <v>0</v>
      </c>
      <c r="N45" s="217">
        <f>0</f>
        <v>0</v>
      </c>
      <c r="O45" s="217">
        <f>0</f>
        <v>0</v>
      </c>
      <c r="P45" s="217">
        <f>0</f>
        <v>0</v>
      </c>
      <c r="Q45" s="225"/>
    </row>
    <row r="46" spans="1:17" ht="37.5" customHeight="1" x14ac:dyDescent="0.25">
      <c r="A46" s="191"/>
      <c r="B46" s="224"/>
      <c r="C46" s="244" t="s">
        <v>194</v>
      </c>
      <c r="D46" s="201"/>
      <c r="E46" s="214">
        <f t="shared" si="24"/>
        <v>0</v>
      </c>
      <c r="F46" s="215">
        <f>0</f>
        <v>0</v>
      </c>
      <c r="G46" s="215">
        <f>0</f>
        <v>0</v>
      </c>
      <c r="H46" s="322"/>
      <c r="I46" s="214">
        <f t="shared" si="25"/>
        <v>0</v>
      </c>
      <c r="J46" s="215">
        <f>0</f>
        <v>0</v>
      </c>
      <c r="K46" s="215">
        <f>0</f>
        <v>0</v>
      </c>
      <c r="L46" s="322"/>
      <c r="M46" s="217">
        <f>0</f>
        <v>0</v>
      </c>
      <c r="N46" s="217">
        <f>0</f>
        <v>0</v>
      </c>
      <c r="O46" s="217">
        <f>0</f>
        <v>0</v>
      </c>
      <c r="P46" s="217">
        <f>0</f>
        <v>0</v>
      </c>
      <c r="Q46" s="225"/>
    </row>
    <row r="47" spans="1:17" ht="37.5" customHeight="1" x14ac:dyDescent="0.25">
      <c r="A47" s="191"/>
      <c r="B47" s="224"/>
      <c r="C47" s="244" t="s">
        <v>194</v>
      </c>
      <c r="D47" s="201"/>
      <c r="E47" s="214">
        <f t="shared" ref="E47" si="26">SUM(F47:H47)</f>
        <v>0</v>
      </c>
      <c r="F47" s="215">
        <f>0</f>
        <v>0</v>
      </c>
      <c r="G47" s="215">
        <f>0</f>
        <v>0</v>
      </c>
      <c r="H47" s="322"/>
      <c r="I47" s="214">
        <f t="shared" ref="I47" si="27">SUM(J47:L47)</f>
        <v>0</v>
      </c>
      <c r="J47" s="215">
        <f>0</f>
        <v>0</v>
      </c>
      <c r="K47" s="215">
        <f>0</f>
        <v>0</v>
      </c>
      <c r="L47" s="322"/>
      <c r="M47" s="217">
        <f>0</f>
        <v>0</v>
      </c>
      <c r="N47" s="217">
        <f>0</f>
        <v>0</v>
      </c>
      <c r="O47" s="217">
        <f>0</f>
        <v>0</v>
      </c>
      <c r="P47" s="217">
        <f>0</f>
        <v>0</v>
      </c>
      <c r="Q47" s="225"/>
    </row>
    <row r="48" spans="1:17" ht="37.5" customHeight="1" x14ac:dyDescent="0.25">
      <c r="A48" s="191"/>
      <c r="B48" s="224"/>
      <c r="C48" s="244" t="s">
        <v>194</v>
      </c>
      <c r="D48" s="201"/>
      <c r="E48" s="214">
        <f t="shared" ref="E48" si="28">SUM(F48:H48)</f>
        <v>0</v>
      </c>
      <c r="F48" s="215">
        <f>0</f>
        <v>0</v>
      </c>
      <c r="G48" s="215">
        <f>0</f>
        <v>0</v>
      </c>
      <c r="H48" s="322"/>
      <c r="I48" s="214">
        <f t="shared" ref="I48" si="29">SUM(J48:L48)</f>
        <v>0</v>
      </c>
      <c r="J48" s="215">
        <f>0</f>
        <v>0</v>
      </c>
      <c r="K48" s="215">
        <f>0</f>
        <v>0</v>
      </c>
      <c r="L48" s="322"/>
      <c r="M48" s="217">
        <f>0</f>
        <v>0</v>
      </c>
      <c r="N48" s="217">
        <f>0</f>
        <v>0</v>
      </c>
      <c r="O48" s="217">
        <f>0</f>
        <v>0</v>
      </c>
      <c r="P48" s="217">
        <f>0</f>
        <v>0</v>
      </c>
      <c r="Q48" s="225"/>
    </row>
    <row r="49" spans="1:17" ht="37.5" customHeight="1" thickBot="1" x14ac:dyDescent="0.3">
      <c r="A49" s="191"/>
      <c r="B49" s="224"/>
      <c r="C49" s="244" t="s">
        <v>194</v>
      </c>
      <c r="D49" s="201"/>
      <c r="E49" s="214">
        <f t="shared" ref="E49" si="30">SUM(F49:H49)</f>
        <v>0</v>
      </c>
      <c r="F49" s="215">
        <f>0</f>
        <v>0</v>
      </c>
      <c r="G49" s="215">
        <f>0</f>
        <v>0</v>
      </c>
      <c r="H49" s="322"/>
      <c r="I49" s="214">
        <f t="shared" ref="I49" si="31">SUM(J49:L49)</f>
        <v>0</v>
      </c>
      <c r="J49" s="215">
        <f>0</f>
        <v>0</v>
      </c>
      <c r="K49" s="215">
        <f>0</f>
        <v>0</v>
      </c>
      <c r="L49" s="322"/>
      <c r="M49" s="217">
        <f>0</f>
        <v>0</v>
      </c>
      <c r="N49" s="217">
        <f>0</f>
        <v>0</v>
      </c>
      <c r="O49" s="217">
        <f>0</f>
        <v>0</v>
      </c>
      <c r="P49" s="217">
        <f>0</f>
        <v>0</v>
      </c>
      <c r="Q49" s="225"/>
    </row>
    <row r="50" spans="1:17" ht="15.6" x14ac:dyDescent="0.25">
      <c r="B50" s="213" t="s">
        <v>209</v>
      </c>
      <c r="C50" s="331"/>
      <c r="D50" s="226"/>
      <c r="E50" s="227">
        <f>SUM(E12:E49)</f>
        <v>10977327</v>
      </c>
      <c r="F50" s="228">
        <f>SUM(F12:F49)</f>
        <v>202915.72399999999</v>
      </c>
      <c r="G50" s="228">
        <f t="shared" ref="G50" si="32">SUM(G12:G49)</f>
        <v>9032292.6359999999</v>
      </c>
      <c r="H50" s="229">
        <f>SUM(H12:H49)</f>
        <v>1742118.64</v>
      </c>
      <c r="I50" s="227">
        <f t="shared" ref="I50:P50" si="33">SUM(I12:I49)</f>
        <v>21295577.829999998</v>
      </c>
      <c r="J50" s="228">
        <f t="shared" si="33"/>
        <v>605988.42000000004</v>
      </c>
      <c r="K50" s="228">
        <f t="shared" si="33"/>
        <v>17167657.897999998</v>
      </c>
      <c r="L50" s="229">
        <f t="shared" si="33"/>
        <v>3521931.5120000001</v>
      </c>
      <c r="M50" s="230">
        <f t="shared" si="33"/>
        <v>25759965.829999998</v>
      </c>
      <c r="N50" s="230">
        <f t="shared" si="33"/>
        <v>30815762.829999998</v>
      </c>
      <c r="O50" s="230">
        <f t="shared" si="33"/>
        <v>35976990.829999998</v>
      </c>
      <c r="P50" s="230">
        <f t="shared" si="33"/>
        <v>41246008.829999998</v>
      </c>
      <c r="Q50" s="231"/>
    </row>
    <row r="51" spans="1:17" ht="15.6" x14ac:dyDescent="0.25">
      <c r="B51" s="186"/>
      <c r="C51" s="332"/>
      <c r="D51" s="232"/>
      <c r="E51" s="232"/>
      <c r="F51" s="232"/>
      <c r="G51" s="232"/>
      <c r="K51" s="394"/>
    </row>
    <row r="52" spans="1:17" ht="15.6" x14ac:dyDescent="0.25">
      <c r="B52" s="232"/>
      <c r="C52" s="332"/>
      <c r="D52" s="232"/>
      <c r="E52" s="232"/>
      <c r="F52" s="232"/>
      <c r="G52" s="232"/>
      <c r="H52" s="232"/>
      <c r="I52" s="233"/>
      <c r="J52" s="234"/>
      <c r="K52" s="234"/>
      <c r="L52" s="193"/>
      <c r="M52" s="234"/>
      <c r="N52" s="234"/>
      <c r="O52" s="234"/>
    </row>
    <row r="53" spans="1:17" ht="66" customHeight="1" x14ac:dyDescent="0.25">
      <c r="B53" s="232"/>
      <c r="I53" s="464" t="s">
        <v>210</v>
      </c>
      <c r="J53" s="465"/>
      <c r="K53" s="320"/>
    </row>
    <row r="54" spans="1:17" ht="15.6" x14ac:dyDescent="0.25">
      <c r="I54" s="184" t="s">
        <v>173</v>
      </c>
      <c r="J54" s="185" t="s">
        <v>174</v>
      </c>
      <c r="K54" s="193"/>
    </row>
    <row r="55" spans="1:17" ht="15" x14ac:dyDescent="0.25">
      <c r="I55" s="235">
        <f>G50-('2-Revenue'!E24-'2-Revenue'!C24)</f>
        <v>8.59999880194664E-2</v>
      </c>
      <c r="J55" s="236">
        <f>K50-('2-Revenue'!G24-'2-Revenue'!C24)</f>
        <v>-0.19200000539422035</v>
      </c>
      <c r="K55" s="321"/>
    </row>
    <row r="56" spans="1:17" ht="69.75" customHeight="1" x14ac:dyDescent="0.25">
      <c r="G56" s="319"/>
      <c r="H56" s="318" t="s">
        <v>211</v>
      </c>
      <c r="I56" s="237"/>
      <c r="J56" s="238"/>
    </row>
  </sheetData>
  <sheetProtection insertRows="0" selectLockedCells="1" selectUnlockedCells="1"/>
  <mergeCells count="9">
    <mergeCell ref="I53:J53"/>
    <mergeCell ref="B9:C9"/>
    <mergeCell ref="A2:J2"/>
    <mergeCell ref="A3:Q3"/>
    <mergeCell ref="B4:D4"/>
    <mergeCell ref="E9:H9"/>
    <mergeCell ref="I9:L9"/>
    <mergeCell ref="Q9:Q10"/>
    <mergeCell ref="E8:P8"/>
  </mergeCells>
  <phoneticPr fontId="10" type="noConversion"/>
  <pageMargins left="0.7" right="0.45" top="0.25" bottom="0.5" header="0" footer="0.15"/>
  <pageSetup scale="40"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716ED-6A89-4F98-9397-348A1198471C}">
  <dimension ref="A1:B22"/>
  <sheetViews>
    <sheetView workbookViewId="0">
      <selection activeCell="B18" sqref="B18"/>
    </sheetView>
  </sheetViews>
  <sheetFormatPr defaultColWidth="8.6640625" defaultRowHeight="15.6" x14ac:dyDescent="0.3"/>
  <cols>
    <col min="1" max="1" width="34.5546875" style="373" customWidth="1"/>
    <col min="2" max="2" width="9.109375" style="373" bestFit="1" customWidth="1"/>
    <col min="3" max="16384" width="8.6640625" style="373"/>
  </cols>
  <sheetData>
    <row r="1" spans="1:2" x14ac:dyDescent="0.3">
      <c r="A1" s="380" t="s">
        <v>212</v>
      </c>
    </row>
    <row r="2" spans="1:2" x14ac:dyDescent="0.3">
      <c r="A2" s="372"/>
      <c r="B2" s="378" t="s">
        <v>213</v>
      </c>
    </row>
    <row r="3" spans="1:2" x14ac:dyDescent="0.3">
      <c r="A3" s="374" t="s">
        <v>214</v>
      </c>
      <c r="B3" s="379" t="s">
        <v>215</v>
      </c>
    </row>
    <row r="4" spans="1:2" x14ac:dyDescent="0.3">
      <c r="A4" s="375" t="s">
        <v>216</v>
      </c>
      <c r="B4" s="376">
        <v>0.60499999999999998</v>
      </c>
    </row>
    <row r="5" spans="1:2" x14ac:dyDescent="0.3">
      <c r="A5" s="375" t="s">
        <v>217</v>
      </c>
      <c r="B5" s="376">
        <v>0.497</v>
      </c>
    </row>
    <row r="6" spans="1:2" x14ac:dyDescent="0.3">
      <c r="A6" s="375" t="s">
        <v>218</v>
      </c>
      <c r="B6" s="376">
        <v>0.51400000000000001</v>
      </c>
    </row>
    <row r="7" spans="1:2" x14ac:dyDescent="0.3">
      <c r="A7" s="375" t="s">
        <v>219</v>
      </c>
      <c r="B7" s="376">
        <v>0.60299999999999998</v>
      </c>
    </row>
    <row r="8" spans="1:2" x14ac:dyDescent="0.3">
      <c r="A8" s="375" t="s">
        <v>220</v>
      </c>
      <c r="B8" s="376">
        <v>0.48199999999999998</v>
      </c>
    </row>
    <row r="9" spans="1:2" x14ac:dyDescent="0.3">
      <c r="A9" s="375" t="s">
        <v>221</v>
      </c>
      <c r="B9" s="376">
        <v>0.56299999999999994</v>
      </c>
    </row>
    <row r="10" spans="1:2" x14ac:dyDescent="0.3">
      <c r="A10" s="375" t="s">
        <v>222</v>
      </c>
      <c r="B10" s="376">
        <v>0.59</v>
      </c>
    </row>
    <row r="11" spans="1:2" x14ac:dyDescent="0.3">
      <c r="A11" s="375" t="s">
        <v>223</v>
      </c>
      <c r="B11" s="376">
        <v>0.59399999999999997</v>
      </c>
    </row>
    <row r="12" spans="1:2" x14ac:dyDescent="0.3">
      <c r="A12" s="375" t="s">
        <v>224</v>
      </c>
      <c r="B12" s="376">
        <v>0.313</v>
      </c>
    </row>
    <row r="13" spans="1:2" x14ac:dyDescent="0.3">
      <c r="A13" s="375" t="s">
        <v>225</v>
      </c>
      <c r="B13" s="376">
        <v>0.56899999999999995</v>
      </c>
    </row>
    <row r="14" spans="1:2" x14ac:dyDescent="0.3">
      <c r="A14" s="375" t="s">
        <v>226</v>
      </c>
      <c r="B14" s="376">
        <v>0.504</v>
      </c>
    </row>
    <row r="15" spans="1:2" x14ac:dyDescent="0.3">
      <c r="A15" s="375" t="s">
        <v>227</v>
      </c>
      <c r="B15" s="376">
        <v>0.42099999999999999</v>
      </c>
    </row>
    <row r="16" spans="1:2" x14ac:dyDescent="0.3">
      <c r="A16" s="375" t="s">
        <v>228</v>
      </c>
      <c r="B16" s="376">
        <v>0.47099999999999997</v>
      </c>
    </row>
    <row r="17" spans="1:2" x14ac:dyDescent="0.3">
      <c r="A17" s="375" t="s">
        <v>229</v>
      </c>
      <c r="B17" s="376">
        <v>0.38200000000000001</v>
      </c>
    </row>
    <row r="18" spans="1:2" x14ac:dyDescent="0.3">
      <c r="A18" s="375" t="s">
        <v>64</v>
      </c>
      <c r="B18" s="376">
        <v>0.38200000000000001</v>
      </c>
    </row>
    <row r="19" spans="1:2" x14ac:dyDescent="0.3">
      <c r="A19" s="375" t="s">
        <v>230</v>
      </c>
      <c r="B19" s="376">
        <v>0.62</v>
      </c>
    </row>
    <row r="20" spans="1:2" x14ac:dyDescent="0.3">
      <c r="A20" s="375" t="s">
        <v>231</v>
      </c>
      <c r="B20" s="376">
        <v>0.628</v>
      </c>
    </row>
    <row r="21" spans="1:2" x14ac:dyDescent="0.3">
      <c r="A21" s="375" t="s">
        <v>232</v>
      </c>
      <c r="B21" s="376">
        <v>0.48199999999999998</v>
      </c>
    </row>
    <row r="22" spans="1:2" x14ac:dyDescent="0.3">
      <c r="A22" s="377" t="s">
        <v>233</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E4898-45B5-455A-A178-0781664361E7}">
  <sheetPr>
    <tabColor theme="9" tint="0.79998168889431442"/>
  </sheetPr>
  <dimension ref="A1:T40"/>
  <sheetViews>
    <sheetView topLeftCell="A4" zoomScaleNormal="100" workbookViewId="0">
      <selection activeCell="J24" sqref="J24"/>
    </sheetView>
  </sheetViews>
  <sheetFormatPr defaultRowHeight="13.2" x14ac:dyDescent="0.25"/>
  <cols>
    <col min="1" max="1" width="9.109375" style="169"/>
    <col min="2" max="2" width="47.44140625" customWidth="1"/>
    <col min="3" max="3" width="20.33203125" bestFit="1" customWidth="1"/>
    <col min="4" max="4" width="20.44140625" bestFit="1" customWidth="1"/>
    <col min="5" max="5" width="8.5546875" bestFit="1" customWidth="1"/>
    <col min="6" max="6" width="16.44140625" customWidth="1"/>
    <col min="7" max="7" width="7" customWidth="1"/>
    <col min="8" max="8" width="16.44140625" customWidth="1"/>
    <col min="9" max="9" width="7.6640625" customWidth="1"/>
    <col min="10" max="10" width="16.44140625" customWidth="1"/>
    <col min="11" max="11" width="13.88671875" bestFit="1" customWidth="1"/>
    <col min="12" max="12" width="16.44140625" customWidth="1"/>
    <col min="13" max="13" width="8.5546875" bestFit="1" customWidth="1"/>
    <col min="14" max="14" width="16.44140625" customWidth="1"/>
    <col min="15" max="15" width="7" customWidth="1"/>
    <col min="16" max="16" width="16.44140625" customWidth="1"/>
    <col min="17" max="17" width="7" customWidth="1"/>
    <col min="18" max="18" width="13.88671875" bestFit="1" customWidth="1"/>
    <col min="19" max="19" width="15.6640625" bestFit="1" customWidth="1"/>
    <col min="20" max="20" width="9.109375" style="169"/>
  </cols>
  <sheetData>
    <row r="1" spans="1:20" ht="22.8" x14ac:dyDescent="0.25">
      <c r="A1" s="296" t="s">
        <v>234</v>
      </c>
      <c r="B1" s="297"/>
      <c r="C1" s="297"/>
      <c r="D1" s="297"/>
      <c r="E1" s="297"/>
      <c r="F1" s="297"/>
      <c r="G1" s="297"/>
      <c r="H1" s="298"/>
      <c r="I1" s="299"/>
      <c r="J1" s="299"/>
      <c r="K1" s="299"/>
      <c r="L1" s="299"/>
      <c r="M1" s="299"/>
      <c r="N1" s="299"/>
      <c r="O1" s="299"/>
      <c r="P1" s="299"/>
      <c r="Q1" s="299"/>
      <c r="R1" s="299"/>
      <c r="S1" s="299"/>
      <c r="T1" s="300"/>
    </row>
    <row r="2" spans="1:20" ht="22.8" x14ac:dyDescent="0.25">
      <c r="A2" s="483" t="str">
        <f>'Institution ID'!C3</f>
        <v>William &amp; Mary</v>
      </c>
      <c r="B2" s="468"/>
      <c r="C2" s="468"/>
      <c r="D2" s="468"/>
      <c r="E2" s="468"/>
      <c r="F2" s="468"/>
      <c r="G2" s="468"/>
      <c r="H2" s="245"/>
      <c r="I2" s="169"/>
      <c r="J2" s="169"/>
      <c r="K2" s="169"/>
      <c r="L2" s="169"/>
      <c r="M2" s="169"/>
      <c r="N2" s="169"/>
      <c r="O2" s="169"/>
      <c r="P2" s="169"/>
      <c r="Q2" s="169"/>
      <c r="R2" s="169"/>
      <c r="S2" s="169"/>
      <c r="T2" s="301"/>
    </row>
    <row r="3" spans="1:20" ht="12.75" customHeight="1" x14ac:dyDescent="0.25">
      <c r="A3" s="485" t="s">
        <v>235</v>
      </c>
      <c r="B3" s="486"/>
      <c r="C3" s="486"/>
      <c r="D3" s="486"/>
      <c r="E3" s="486"/>
      <c r="F3" s="486"/>
      <c r="G3" s="486"/>
      <c r="H3" s="486"/>
      <c r="I3" s="486"/>
      <c r="J3" s="486"/>
      <c r="K3" s="486"/>
      <c r="L3" s="486"/>
      <c r="M3" s="486"/>
      <c r="N3" s="486"/>
      <c r="O3" s="486"/>
      <c r="P3" s="486"/>
      <c r="Q3" s="486"/>
      <c r="R3" s="486"/>
      <c r="S3" s="486"/>
      <c r="T3" s="301"/>
    </row>
    <row r="4" spans="1:20" ht="102.75" customHeight="1" x14ac:dyDescent="0.25">
      <c r="A4" s="485"/>
      <c r="B4" s="486"/>
      <c r="C4" s="486"/>
      <c r="D4" s="486"/>
      <c r="E4" s="486"/>
      <c r="F4" s="486"/>
      <c r="G4" s="486"/>
      <c r="H4" s="486"/>
      <c r="I4" s="486"/>
      <c r="J4" s="486"/>
      <c r="K4" s="486"/>
      <c r="L4" s="486"/>
      <c r="M4" s="486"/>
      <c r="N4" s="486"/>
      <c r="O4" s="486"/>
      <c r="P4" s="486"/>
      <c r="Q4" s="486"/>
      <c r="R4" s="486"/>
      <c r="S4" s="486"/>
      <c r="T4" s="301"/>
    </row>
    <row r="5" spans="1:20" x14ac:dyDescent="0.25">
      <c r="A5" s="302"/>
      <c r="B5" s="169"/>
      <c r="C5" s="169"/>
      <c r="D5" s="169"/>
      <c r="E5" s="169"/>
      <c r="F5" s="169"/>
      <c r="G5" s="169"/>
      <c r="H5" s="169"/>
      <c r="I5" s="169"/>
      <c r="J5" s="169"/>
      <c r="K5" s="169"/>
      <c r="L5" s="169"/>
      <c r="M5" s="169"/>
      <c r="N5" s="169"/>
      <c r="O5" s="169"/>
      <c r="P5" s="169"/>
      <c r="Q5" s="169"/>
      <c r="R5" s="169"/>
      <c r="S5" s="169"/>
      <c r="T5" s="301"/>
    </row>
    <row r="6" spans="1:20" s="169" customFormat="1" ht="13.8" thickBot="1" x14ac:dyDescent="0.3">
      <c r="A6" s="302"/>
      <c r="R6" s="484" t="s">
        <v>236</v>
      </c>
      <c r="S6" s="484"/>
      <c r="T6" s="301"/>
    </row>
    <row r="7" spans="1:20" s="1" customFormat="1" ht="12.75" customHeight="1" x14ac:dyDescent="0.25">
      <c r="A7" s="176"/>
      <c r="B7" s="177" t="s">
        <v>237</v>
      </c>
      <c r="C7" s="255" t="s">
        <v>95</v>
      </c>
      <c r="D7" s="255" t="s">
        <v>96</v>
      </c>
      <c r="E7" s="256" t="s">
        <v>104</v>
      </c>
      <c r="F7" s="257" t="s">
        <v>173</v>
      </c>
      <c r="G7" s="256" t="s">
        <v>104</v>
      </c>
      <c r="H7" s="257" t="s">
        <v>174</v>
      </c>
      <c r="I7" s="256" t="s">
        <v>104</v>
      </c>
      <c r="J7" s="258" t="s">
        <v>175</v>
      </c>
      <c r="K7" s="256" t="s">
        <v>104</v>
      </c>
      <c r="L7" s="258" t="s">
        <v>176</v>
      </c>
      <c r="M7" s="256" t="s">
        <v>104</v>
      </c>
      <c r="N7" s="258" t="s">
        <v>177</v>
      </c>
      <c r="O7" s="256" t="s">
        <v>104</v>
      </c>
      <c r="P7" s="258" t="s">
        <v>178</v>
      </c>
      <c r="Q7" s="256" t="s">
        <v>104</v>
      </c>
      <c r="R7" s="347" t="s">
        <v>238</v>
      </c>
      <c r="S7" s="337" t="s">
        <v>239</v>
      </c>
      <c r="T7" s="303"/>
    </row>
    <row r="8" spans="1:20" x14ac:dyDescent="0.25">
      <c r="A8" s="302"/>
      <c r="B8" s="183" t="s">
        <v>240</v>
      </c>
      <c r="C8" s="292">
        <f>'2-Revenue'!B25</f>
        <v>69686331</v>
      </c>
      <c r="D8" s="292">
        <f>'2-Revenue'!C25</f>
        <v>70835060</v>
      </c>
      <c r="E8" s="293">
        <f>IF(C8=0,"%",D8/C8-1)</f>
        <v>1.6484280109394733E-2</v>
      </c>
      <c r="F8" s="292">
        <f>D8+'4-Academic-Financial'!H50</f>
        <v>72577178.640000001</v>
      </c>
      <c r="G8" s="293">
        <f>IF(D8=0,"%",F8/D8-1)</f>
        <v>2.4594016578795896E-2</v>
      </c>
      <c r="H8" s="292">
        <f>D8+'4-Academic-Financial'!L50</f>
        <v>74356991.511999995</v>
      </c>
      <c r="I8" s="293">
        <f>IF(F8=0,"%",H8/F8-1)</f>
        <v>2.4523037480256527E-2</v>
      </c>
      <c r="J8" s="292">
        <f>IFERROR(D8+'4-Academic-Financial'!L6*SUM('4-Academic-Financial'!M12:M18,'4-Academic-Financial'!M22),0)</f>
        <v>76175337.488000005</v>
      </c>
      <c r="K8" s="293">
        <f>IF(H8=0,"%",J8/H8-1)</f>
        <v>2.4454270392402222E-2</v>
      </c>
      <c r="L8" s="292">
        <f>IFERROR(D8+'4-Academic-Financial'!L6*SUM('4-Academic-Financial'!N12:N18, '4-Academic-Financial'!N22),0)</f>
        <v>78033078.741999999</v>
      </c>
      <c r="M8" s="293">
        <f>IF(J8=0,"%",L8/J8-1)</f>
        <v>2.4387699684200959E-2</v>
      </c>
      <c r="N8" s="292">
        <f>IFERROR(D8+'4-Academic-Financial'!L6*SUM('4-Academic-Financial'!O12:O18, '4-Academic-Financial'!O22),0)</f>
        <v>79931094.637999997</v>
      </c>
      <c r="O8" s="293">
        <f>IF(L8=0,"%",N8/L8-1)</f>
        <v>2.4323221979686283E-2</v>
      </c>
      <c r="P8" s="292">
        <f>IFERROR(D8+'4-Academic-Financial'!L6*SUM('4-Academic-Financial'!P12:P18,'4-Academic-Financial'!P22),0)</f>
        <v>81870286.313999996</v>
      </c>
      <c r="Q8" s="293">
        <f>IF(N8=0,"%",P8/N8-1)</f>
        <v>2.4260792183347535E-2</v>
      </c>
      <c r="R8" s="348">
        <f>IF(C8=0,"%",P8/C8-1)</f>
        <v>0.17483995984807965</v>
      </c>
      <c r="S8" s="338">
        <f>IFERROR(R8/7,"%")</f>
        <v>2.4977137121154236E-2</v>
      </c>
      <c r="T8" s="301"/>
    </row>
    <row r="9" spans="1:20" x14ac:dyDescent="0.25">
      <c r="A9" s="302"/>
      <c r="B9" s="173" t="s">
        <v>241</v>
      </c>
      <c r="C9" s="241">
        <f>'3-Financial Aid'!I18</f>
        <v>4.7960331393302448E-2</v>
      </c>
      <c r="D9" s="241">
        <f>'3-Financial Aid'!I31</f>
        <v>4.7934410594429967E-2</v>
      </c>
      <c r="E9" s="273" t="str">
        <f>IF(OR(C9=0,C9="%"),"%",_xlfn.CONCAT(ROUND(D9-C9,5)*100,"pt"))</f>
        <v>-0.003pt</v>
      </c>
      <c r="F9" s="241">
        <f>'3-Financial Aid'!I44</f>
        <v>4.673340935567831E-2</v>
      </c>
      <c r="G9" s="273" t="str">
        <f>IF(OR(D9=0,D9="%"),"%",_xlfn.CONCAT(ROUND(F9-D9,5)*100,"pt"))</f>
        <v>-0.12pt</v>
      </c>
      <c r="H9" s="241">
        <f>'3-Financial Aid'!I57</f>
        <v>4.688935235220941E-2</v>
      </c>
      <c r="I9" s="273" t="str">
        <f>IF(OR(F9=0,F9="%"),"%",_xlfn.CONCAT(ROUND(H9-F9,5)*100,"pt"))</f>
        <v>0.016pt</v>
      </c>
      <c r="J9" s="241">
        <f>'3-Financial Aid'!I70</f>
        <v>4.688935235220941E-2</v>
      </c>
      <c r="K9" s="273" t="str">
        <f>IF(OR(H9=0,H9="%"),"%",_xlfn.CONCAT(ROUND(J9-H9,5)*100,"pt"))</f>
        <v>0pt</v>
      </c>
      <c r="L9" s="241">
        <f>'3-Financial Aid'!I83</f>
        <v>4.688935235220941E-2</v>
      </c>
      <c r="M9" s="273" t="str">
        <f>IF(OR(J9=0,J9="%"),"%",_xlfn.CONCAT(ROUND(L9-J9,5)*100,"pt"))</f>
        <v>0pt</v>
      </c>
      <c r="N9" s="241">
        <f>'3-Financial Aid'!I96</f>
        <v>4.688935235220941E-2</v>
      </c>
      <c r="O9" s="273" t="str">
        <f>IF(OR(L9=0,L9="%"),"%",_xlfn.CONCAT(ROUND(N9-L9,5)*100,"pt"))</f>
        <v>0pt</v>
      </c>
      <c r="P9" s="241">
        <f>'3-Financial Aid'!I109</f>
        <v>4.688935235220941E-2</v>
      </c>
      <c r="Q9" s="273" t="str">
        <f>IF(OR(N9=0,N9="%"),"%",_xlfn.CONCAT(ROUND(P9-N9,5)*100,"pt"))</f>
        <v>0pt</v>
      </c>
      <c r="R9" s="349" t="str">
        <f>IF(OR(C9=0,C9="%"),"%",_xlfn.CONCAT(ROUND(P9-C9,5)*100,"pt"))</f>
        <v>-0.107pt</v>
      </c>
      <c r="S9" s="340" t="str">
        <f>IFERROR(R9/7,"%")</f>
        <v>%</v>
      </c>
      <c r="T9" s="301"/>
    </row>
    <row r="10" spans="1:20" x14ac:dyDescent="0.25">
      <c r="A10" s="302"/>
      <c r="B10" s="174" t="s">
        <v>242</v>
      </c>
      <c r="C10" s="286">
        <f>'2-Revenue'!B24</f>
        <v>240752170</v>
      </c>
      <c r="D10" s="286">
        <f>'2-Revenue'!C24</f>
        <v>256414649.78999999</v>
      </c>
      <c r="E10" s="287">
        <f t="shared" ref="E10:E18" si="0">IF(C10=0,"%",D10/C10-1)</f>
        <v>6.5056442855738306E-2</v>
      </c>
      <c r="F10" s="286">
        <f>'2-Revenue'!E24</f>
        <v>265446942.34</v>
      </c>
      <c r="G10" s="287">
        <f t="shared" ref="G10:Q18" si="1">IF(D10=0,"%",F10/D10-1)</f>
        <v>3.5225337387693401E-2</v>
      </c>
      <c r="H10" s="286">
        <f>'2-Revenue'!G24</f>
        <v>273582307.88</v>
      </c>
      <c r="I10" s="287">
        <f t="shared" ref="I10:Q18" si="2">IF(F10=0,"%",H10/F10-1)</f>
        <v>3.0647802789831147E-2</v>
      </c>
      <c r="J10" s="286">
        <f>'2-Revenue'!I24</f>
        <v>273582307.88</v>
      </c>
      <c r="K10" s="287">
        <f t="shared" si="2"/>
        <v>0</v>
      </c>
      <c r="L10" s="286">
        <f>'2-Revenue'!K24</f>
        <v>273582307.88</v>
      </c>
      <c r="M10" s="287">
        <f t="shared" si="2"/>
        <v>0</v>
      </c>
      <c r="N10" s="286">
        <f>'2-Revenue'!M24</f>
        <v>273582307.88</v>
      </c>
      <c r="O10" s="287">
        <f t="shared" si="2"/>
        <v>0</v>
      </c>
      <c r="P10" s="286">
        <f>'2-Revenue'!O24</f>
        <v>273582307.88</v>
      </c>
      <c r="Q10" s="287">
        <f t="shared" si="2"/>
        <v>0</v>
      </c>
      <c r="R10" s="350">
        <f>IF(C10=0,"%",P10/C10-1)</f>
        <v>0.13636486798852121</v>
      </c>
      <c r="S10" s="339">
        <f>IFERROR(R10/7,"%")</f>
        <v>1.94806954269316E-2</v>
      </c>
      <c r="T10" s="301"/>
    </row>
    <row r="11" spans="1:20" x14ac:dyDescent="0.25">
      <c r="A11" s="302"/>
      <c r="B11" s="173" t="s">
        <v>243</v>
      </c>
      <c r="C11" s="281"/>
      <c r="D11" s="246">
        <f>D10-C10</f>
        <v>15662479.789999992</v>
      </c>
      <c r="E11" s="272"/>
      <c r="F11" s="246">
        <f>F10-D10</f>
        <v>9032292.5500000119</v>
      </c>
      <c r="G11" s="272">
        <f t="shared" si="1"/>
        <v>-0.42331657112388732</v>
      </c>
      <c r="H11" s="246">
        <f>H10-F10</f>
        <v>8135365.5399999917</v>
      </c>
      <c r="I11" s="272">
        <f t="shared" si="2"/>
        <v>-9.9302254110449462E-2</v>
      </c>
      <c r="J11" s="246">
        <f>J10-H10</f>
        <v>0</v>
      </c>
      <c r="K11" s="272">
        <f t="shared" si="2"/>
        <v>-1</v>
      </c>
      <c r="L11" s="246">
        <f>L10-J10</f>
        <v>0</v>
      </c>
      <c r="M11" s="272" t="str">
        <f t="shared" si="2"/>
        <v>%</v>
      </c>
      <c r="N11" s="246">
        <f>N10-L10</f>
        <v>0</v>
      </c>
      <c r="O11" s="272" t="str">
        <f t="shared" si="2"/>
        <v>%</v>
      </c>
      <c r="P11" s="246">
        <f>P10-N10</f>
        <v>0</v>
      </c>
      <c r="Q11" s="272" t="str">
        <f t="shared" si="2"/>
        <v>%</v>
      </c>
      <c r="R11" s="351">
        <f>IF(D11=0,"%",P11/D11-1)</f>
        <v>-1</v>
      </c>
      <c r="S11" s="276"/>
      <c r="T11" s="301"/>
    </row>
    <row r="12" spans="1:20" x14ac:dyDescent="0.25">
      <c r="A12" s="302"/>
      <c r="B12" s="173" t="s">
        <v>244</v>
      </c>
      <c r="C12" s="281">
        <f>C10+C8</f>
        <v>310438501</v>
      </c>
      <c r="D12" s="281">
        <f>D10+D8</f>
        <v>327249709.78999996</v>
      </c>
      <c r="E12" s="274">
        <f t="shared" ref="E12" si="3">IF(C12=0,"%",D12/C12-1)</f>
        <v>5.4153105158821546E-2</v>
      </c>
      <c r="F12" s="281">
        <f>F10+F8</f>
        <v>338024120.98000002</v>
      </c>
      <c r="G12" s="274">
        <f t="shared" si="1"/>
        <v>3.2924127562753647E-2</v>
      </c>
      <c r="H12" s="281">
        <f>H10+H8</f>
        <v>347939299.39199996</v>
      </c>
      <c r="I12" s="274">
        <f t="shared" si="1"/>
        <v>2.9332754074631762E-2</v>
      </c>
      <c r="J12" s="281">
        <f>J10+J8</f>
        <v>349757645.36800003</v>
      </c>
      <c r="K12" s="274">
        <f t="shared" si="1"/>
        <v>5.2260436782436415E-3</v>
      </c>
      <c r="L12" s="281">
        <f>L10+L8</f>
        <v>351615386.62199998</v>
      </c>
      <c r="M12" s="274">
        <f t="shared" si="1"/>
        <v>5.3115100659066883E-3</v>
      </c>
      <c r="N12" s="281">
        <f>N10+N8</f>
        <v>353513402.51800001</v>
      </c>
      <c r="O12" s="274">
        <f t="shared" si="1"/>
        <v>5.3979887348913902E-3</v>
      </c>
      <c r="P12" s="281">
        <f>P10+P8</f>
        <v>355452594.19400001</v>
      </c>
      <c r="Q12" s="274">
        <f t="shared" si="1"/>
        <v>5.4854827629944314E-3</v>
      </c>
      <c r="R12" s="351">
        <f>IF(D12=0,"%",P12/D12-1)</f>
        <v>8.6181541374316772E-2</v>
      </c>
      <c r="S12" s="276">
        <f>IFERROR(R12/7,"%")</f>
        <v>1.231164876775954E-2</v>
      </c>
      <c r="T12" s="301"/>
    </row>
    <row r="13" spans="1:20" x14ac:dyDescent="0.25">
      <c r="A13" s="302"/>
      <c r="B13" s="175" t="s">
        <v>245</v>
      </c>
      <c r="C13" s="294">
        <f>IF(C8+C10=0,"%",C8/(C8+C10))</f>
        <v>0.22447708894200594</v>
      </c>
      <c r="D13" s="294">
        <f>IF(D8+D10=0,"%",D8/(D8+D10))</f>
        <v>0.21645568469856155</v>
      </c>
      <c r="E13" s="295" t="str">
        <f>IF(OR(C13=0,C13="%"),"%",_xlfn.CONCAT(ROUND(D13-C13,3)*100,"pt"))</f>
        <v>-0.8pt</v>
      </c>
      <c r="F13" s="294">
        <f>IF(F8+F10=0,"%",F8/(F8+F10))</f>
        <v>0.21471005805616517</v>
      </c>
      <c r="G13" s="295" t="str">
        <f>IF(OR(D13=0,D13="%"),"%",_xlfn.CONCAT(ROUND(F13-D13,3)*100,"pt"))</f>
        <v>-0.2pt</v>
      </c>
      <c r="H13" s="294">
        <f>IF(H8+H10=0,"%",H8/(H8+H10))</f>
        <v>0.21370679208107199</v>
      </c>
      <c r="I13" s="295" t="str">
        <f>IF(OR(F13=0,F13="%"),"%",_xlfn.CONCAT(ROUND(H13-F13,3)*100,"pt"))</f>
        <v>-0.1pt</v>
      </c>
      <c r="J13" s="294">
        <f>IF(J8+J10=0,"%",J8/(J8+J10))</f>
        <v>0.21779463150219797</v>
      </c>
      <c r="K13" s="295" t="str">
        <f>IF(OR(H13=0,H13="%"),"%",_xlfn.CONCAT(ROUND(J13-H13,3)*100,"pt"))</f>
        <v>0.4pt</v>
      </c>
      <c r="L13" s="294">
        <f>IF(L8+L10=0,"%",L8/(L8+L10))</f>
        <v>0.2219273720973097</v>
      </c>
      <c r="M13" s="295" t="str">
        <f>IF(OR(J13=0,J13="%"),"%",_xlfn.CONCAT(ROUND(L13-J13,3)*100,"pt"))</f>
        <v>0.4pt</v>
      </c>
      <c r="N13" s="294">
        <f>IF(N8+N10=0,"%",N8/(N8+N10))</f>
        <v>0.22610484940222347</v>
      </c>
      <c r="O13" s="295" t="str">
        <f>IF(OR(L13=0,L13="%"),"%",_xlfn.CONCAT(ROUND(N13-L13,3)*100,"pt"))</f>
        <v>0.4pt</v>
      </c>
      <c r="P13" s="294">
        <f>IF(P8+P10=0,"%",P8/(P8+P10))</f>
        <v>0.23032687804584309</v>
      </c>
      <c r="Q13" s="295" t="str">
        <f>IF(OR(N13=0,N13="%"),"%",_xlfn.CONCAT(ROUND(P13-N13,3)*100,"pt"))</f>
        <v>0.4pt</v>
      </c>
      <c r="R13" s="352" t="str">
        <f>IF(OR(C13=0,C13="%"),"%",_xlfn.CONCAT(ROUND(P13-C13,3)*100,"pt"))</f>
        <v>0.6pt</v>
      </c>
      <c r="S13" s="340" t="str">
        <f>IFERROR(R13/7,"%")</f>
        <v>%</v>
      </c>
      <c r="T13" s="301"/>
    </row>
    <row r="14" spans="1:20" x14ac:dyDescent="0.25">
      <c r="A14" s="302"/>
      <c r="B14" s="174" t="s">
        <v>246</v>
      </c>
      <c r="C14" s="286">
        <f>'4-Academic-Financial'!D5</f>
        <v>299529315.48000002</v>
      </c>
      <c r="D14" s="286">
        <f>'4-Academic-Financial'!D6</f>
        <v>327249709.78999996</v>
      </c>
      <c r="E14" s="287">
        <f t="shared" si="0"/>
        <v>9.254651507341638E-2</v>
      </c>
      <c r="F14" s="286">
        <f>$D$14+F15-F16</f>
        <v>338024121.06599998</v>
      </c>
      <c r="G14" s="287">
        <f t="shared" si="1"/>
        <v>3.2924127825549654E-2</v>
      </c>
      <c r="H14" s="286">
        <f>$D$14+H15-H16</f>
        <v>347939299.19999993</v>
      </c>
      <c r="I14" s="287">
        <f t="shared" si="2"/>
        <v>2.9332753244742493E-2</v>
      </c>
      <c r="J14" s="286">
        <f>$D$14+J15-J16</f>
        <v>352403687.19999993</v>
      </c>
      <c r="K14" s="287">
        <f t="shared" si="2"/>
        <v>1.2830939219182103E-2</v>
      </c>
      <c r="L14" s="286">
        <f>$D$14+L15-L16</f>
        <v>357459484.19999993</v>
      </c>
      <c r="M14" s="287">
        <f t="shared" si="2"/>
        <v>1.4346606416551611E-2</v>
      </c>
      <c r="N14" s="286">
        <f>$D$14+N15-N16</f>
        <v>362620712.19999993</v>
      </c>
      <c r="O14" s="287">
        <f t="shared" si="2"/>
        <v>1.4438637742542726E-2</v>
      </c>
      <c r="P14" s="286">
        <f>$D$14+P15-P16</f>
        <v>367889730.19999993</v>
      </c>
      <c r="Q14" s="287">
        <f t="shared" si="2"/>
        <v>1.4530383463297492E-2</v>
      </c>
      <c r="R14" s="350">
        <f>IF(C14=0,"%",P14/C14-1)</f>
        <v>0.2282261240788781</v>
      </c>
      <c r="S14" s="339">
        <f>IFERROR(R14/7,"%")</f>
        <v>3.2603732011268302E-2</v>
      </c>
      <c r="T14" s="301"/>
    </row>
    <row r="15" spans="1:20" x14ac:dyDescent="0.25">
      <c r="A15" s="302"/>
      <c r="B15" s="173" t="s">
        <v>247</v>
      </c>
      <c r="C15" s="281"/>
      <c r="D15" s="246"/>
      <c r="E15" s="272"/>
      <c r="F15" s="246">
        <f>'4-Academic-Financial'!E50</f>
        <v>10977327</v>
      </c>
      <c r="G15" s="272"/>
      <c r="H15" s="246">
        <f>'4-Academic-Financial'!I50</f>
        <v>21295577.829999998</v>
      </c>
      <c r="I15" s="272">
        <f t="shared" si="2"/>
        <v>0.93996023166659781</v>
      </c>
      <c r="J15" s="246">
        <f>'4-Academic-Financial'!M50</f>
        <v>25759965.829999998</v>
      </c>
      <c r="K15" s="272">
        <f t="shared" si="2"/>
        <v>0.20963920470431296</v>
      </c>
      <c r="L15" s="246">
        <f>'4-Academic-Financial'!N50</f>
        <v>30815762.829999998</v>
      </c>
      <c r="M15" s="272">
        <f t="shared" si="2"/>
        <v>0.19626567183222066</v>
      </c>
      <c r="N15" s="246">
        <f>'4-Academic-Financial'!O50</f>
        <v>35976990.829999998</v>
      </c>
      <c r="O15" s="272">
        <f t="shared" si="2"/>
        <v>0.16748662132664793</v>
      </c>
      <c r="P15" s="246">
        <f>'4-Academic-Financial'!P50</f>
        <v>41246008.829999998</v>
      </c>
      <c r="Q15" s="272">
        <f t="shared" si="2"/>
        <v>0.14645521702738806</v>
      </c>
      <c r="R15" s="351">
        <f>IF(F15=0,"%",P15/F15-1)</f>
        <v>2.7573818134414689</v>
      </c>
      <c r="S15" s="276"/>
      <c r="T15" s="301"/>
    </row>
    <row r="16" spans="1:20" x14ac:dyDescent="0.25">
      <c r="A16" s="302"/>
      <c r="B16" s="175" t="s">
        <v>248</v>
      </c>
      <c r="C16" s="288"/>
      <c r="D16" s="289"/>
      <c r="E16" s="290"/>
      <c r="F16" s="291">
        <f>'4-Academic-Financial'!F50</f>
        <v>202915.72399999999</v>
      </c>
      <c r="G16" s="290"/>
      <c r="H16" s="291">
        <f>'4-Academic-Financial'!J50</f>
        <v>605988.42000000004</v>
      </c>
      <c r="I16" s="290">
        <f t="shared" si="2"/>
        <v>1.9864044444382243</v>
      </c>
      <c r="J16" s="291">
        <f>H16</f>
        <v>605988.42000000004</v>
      </c>
      <c r="K16" s="290"/>
      <c r="L16" s="291">
        <f>J16</f>
        <v>605988.42000000004</v>
      </c>
      <c r="M16" s="290"/>
      <c r="N16" s="291">
        <f>L16</f>
        <v>605988.42000000004</v>
      </c>
      <c r="O16" s="290"/>
      <c r="P16" s="291">
        <f>N16</f>
        <v>605988.42000000004</v>
      </c>
      <c r="Q16" s="290"/>
      <c r="R16" s="353"/>
      <c r="S16" s="340"/>
      <c r="T16" s="301"/>
    </row>
    <row r="17" spans="1:20" x14ac:dyDescent="0.25">
      <c r="A17" s="302"/>
      <c r="B17" s="259" t="s">
        <v>249</v>
      </c>
      <c r="C17" s="239">
        <f>C12-C14</f>
        <v>10909185.519999981</v>
      </c>
      <c r="D17" s="239">
        <f>D12-D14</f>
        <v>0</v>
      </c>
      <c r="E17" s="247">
        <f t="shared" si="0"/>
        <v>-1</v>
      </c>
      <c r="F17" s="239">
        <f>F12-F14</f>
        <v>-8.5999965667724609E-2</v>
      </c>
      <c r="G17" s="247" t="str">
        <f t="shared" si="1"/>
        <v>%</v>
      </c>
      <c r="H17" s="239">
        <f>H12-H14</f>
        <v>0.19200003147125244</v>
      </c>
      <c r="I17" s="248">
        <f t="shared" si="2"/>
        <v>-3.2325593967453079</v>
      </c>
      <c r="J17" s="239">
        <f>J12-J14</f>
        <v>-2646041.831999898</v>
      </c>
      <c r="K17" s="248">
        <f t="shared" si="2"/>
        <v>-13781466.616041221</v>
      </c>
      <c r="L17" s="239">
        <f>L12-L14</f>
        <v>-5844097.5779999495</v>
      </c>
      <c r="M17" s="248">
        <f t="shared" si="2"/>
        <v>1.2086187403858757</v>
      </c>
      <c r="N17" s="239">
        <f>N12-N14</f>
        <v>-9107309.6819999218</v>
      </c>
      <c r="O17" s="248">
        <f t="shared" si="2"/>
        <v>0.55837741592205847</v>
      </c>
      <c r="P17" s="239">
        <f>P12-P14</f>
        <v>-12437136.005999923</v>
      </c>
      <c r="Q17" s="248">
        <f t="shared" si="2"/>
        <v>0.36562129105823793</v>
      </c>
      <c r="R17" s="354">
        <f>IF(F17=0,"%",P17/F17-1)</f>
        <v>144617917.26816419</v>
      </c>
      <c r="S17" s="341">
        <f>IFERROR(R17/7,"%")</f>
        <v>20659702.466880597</v>
      </c>
      <c r="T17" s="301"/>
    </row>
    <row r="18" spans="1:20" ht="13.8" thickBot="1" x14ac:dyDescent="0.3">
      <c r="A18" s="302"/>
      <c r="B18" s="260" t="s">
        <v>250</v>
      </c>
      <c r="C18" s="261">
        <f>C17</f>
        <v>10909185.519999981</v>
      </c>
      <c r="D18" s="262">
        <f>D17-C17</f>
        <v>-10909185.519999981</v>
      </c>
      <c r="E18" s="263">
        <f t="shared" si="0"/>
        <v>-2</v>
      </c>
      <c r="F18" s="264">
        <f>F17-D17</f>
        <v>-8.5999965667724609E-2</v>
      </c>
      <c r="G18" s="263">
        <f t="shared" si="1"/>
        <v>-0.99999999211673818</v>
      </c>
      <c r="H18" s="264">
        <f>H17-F17</f>
        <v>0.27799999713897705</v>
      </c>
      <c r="I18" s="265">
        <f t="shared" si="2"/>
        <v>-4.2325593967453079</v>
      </c>
      <c r="J18" s="264">
        <f>J17-H17</f>
        <v>-2646042.0239999294</v>
      </c>
      <c r="K18" s="265">
        <f t="shared" si="2"/>
        <v>-9518137.8749335874</v>
      </c>
      <c r="L18" s="264">
        <f>L17-J17</f>
        <v>-3198055.7460000515</v>
      </c>
      <c r="M18" s="265">
        <f t="shared" si="2"/>
        <v>0.20861865268702817</v>
      </c>
      <c r="N18" s="264">
        <f>N17-L17</f>
        <v>-3263212.1039999723</v>
      </c>
      <c r="O18" s="265">
        <f t="shared" si="2"/>
        <v>2.0373740539518348E-2</v>
      </c>
      <c r="P18" s="264">
        <f>P17-N17</f>
        <v>-3329826.324000001</v>
      </c>
      <c r="Q18" s="265">
        <f t="shared" si="2"/>
        <v>2.0413696038444673E-2</v>
      </c>
      <c r="R18" s="355">
        <f>IF(F18=0,"%",P18/F18-1)</f>
        <v>38718925.201265559</v>
      </c>
      <c r="S18" s="342">
        <f>IFERROR(R18/7,"%")</f>
        <v>5531275.0287522227</v>
      </c>
      <c r="T18" s="301"/>
    </row>
    <row r="19" spans="1:20" x14ac:dyDescent="0.25">
      <c r="A19" s="302"/>
      <c r="B19" s="169"/>
      <c r="C19" s="169"/>
      <c r="D19" s="169"/>
      <c r="E19" s="169"/>
      <c r="F19" s="169"/>
      <c r="G19" s="169"/>
      <c r="H19" s="169"/>
      <c r="I19" s="169"/>
      <c r="J19" s="169"/>
      <c r="K19" s="169"/>
      <c r="L19" s="169"/>
      <c r="M19" s="169"/>
      <c r="N19" s="169"/>
      <c r="O19" s="169"/>
      <c r="P19" s="169"/>
      <c r="Q19" s="169"/>
      <c r="R19" s="169"/>
      <c r="S19" s="169"/>
      <c r="T19" s="301"/>
    </row>
    <row r="20" spans="1:20" ht="13.8" thickBot="1" x14ac:dyDescent="0.3">
      <c r="A20" s="302"/>
      <c r="B20" s="169"/>
      <c r="C20" s="169"/>
      <c r="D20" s="169"/>
      <c r="E20" s="169"/>
      <c r="F20" s="169"/>
      <c r="G20" s="169"/>
      <c r="H20" s="169"/>
      <c r="I20" s="169"/>
      <c r="J20" s="249"/>
      <c r="K20" s="169"/>
      <c r="L20" s="169"/>
      <c r="M20" s="169"/>
      <c r="N20" s="169"/>
      <c r="O20" s="169"/>
      <c r="P20" s="169"/>
      <c r="Q20" s="169"/>
      <c r="R20" s="169"/>
      <c r="S20" s="169"/>
      <c r="T20" s="301"/>
    </row>
    <row r="21" spans="1:20" s="169" customFormat="1" ht="13.8" thickBot="1" x14ac:dyDescent="0.3">
      <c r="A21" s="302"/>
      <c r="B21" s="306" t="s">
        <v>251</v>
      </c>
      <c r="C21" s="307"/>
      <c r="D21" s="307"/>
      <c r="E21" s="307"/>
      <c r="F21" s="307"/>
      <c r="G21" s="307"/>
      <c r="H21" s="307"/>
      <c r="I21" s="307"/>
      <c r="J21" s="307"/>
      <c r="K21" s="307"/>
      <c r="L21" s="307"/>
      <c r="M21" s="307"/>
      <c r="N21" s="307"/>
      <c r="O21" s="307"/>
      <c r="P21" s="307"/>
      <c r="Q21" s="307"/>
      <c r="R21" s="356"/>
      <c r="S21" s="343"/>
      <c r="T21" s="301"/>
    </row>
    <row r="22" spans="1:20" s="169" customFormat="1" x14ac:dyDescent="0.25">
      <c r="A22" s="302"/>
      <c r="B22" s="172"/>
      <c r="C22" s="250" t="s">
        <v>95</v>
      </c>
      <c r="D22" s="250" t="s">
        <v>96</v>
      </c>
      <c r="E22" s="251" t="s">
        <v>104</v>
      </c>
      <c r="F22" s="252" t="s">
        <v>173</v>
      </c>
      <c r="G22" s="251" t="s">
        <v>104</v>
      </c>
      <c r="H22" s="252" t="s">
        <v>174</v>
      </c>
      <c r="I22" s="251" t="s">
        <v>104</v>
      </c>
      <c r="J22" s="253" t="s">
        <v>175</v>
      </c>
      <c r="K22" s="251" t="s">
        <v>104</v>
      </c>
      <c r="L22" s="253" t="s">
        <v>176</v>
      </c>
      <c r="M22" s="251" t="s">
        <v>104</v>
      </c>
      <c r="N22" s="253" t="s">
        <v>177</v>
      </c>
      <c r="O22" s="251" t="s">
        <v>104</v>
      </c>
      <c r="P22" s="253" t="s">
        <v>178</v>
      </c>
      <c r="Q22" s="251" t="s">
        <v>104</v>
      </c>
      <c r="R22" s="357" t="s">
        <v>238</v>
      </c>
      <c r="S22" s="344" t="s">
        <v>239</v>
      </c>
      <c r="T22" s="301"/>
    </row>
    <row r="23" spans="1:20" s="169" customFormat="1" x14ac:dyDescent="0.25">
      <c r="A23" s="302"/>
      <c r="B23" s="278" t="s">
        <v>252</v>
      </c>
      <c r="C23" s="279">
        <f>C13</f>
        <v>0.22447708894200594</v>
      </c>
      <c r="D23" s="279">
        <f>C23</f>
        <v>0.22447708894200594</v>
      </c>
      <c r="E23" s="275" t="str">
        <f>IF(OR(C23=0,C23="%"),"%",_xlfn.CONCAT(ROUND(D23-C23,3)*100,"pt"))</f>
        <v>0pt</v>
      </c>
      <c r="F23" s="279">
        <f>D23</f>
        <v>0.22447708894200594</v>
      </c>
      <c r="G23" s="275" t="str">
        <f>IF(OR(D23=0,D23="%"),"%",_xlfn.CONCAT(ROUND(F23-D23,3)*100,"pt"))</f>
        <v>0pt</v>
      </c>
      <c r="H23" s="279">
        <f>F23</f>
        <v>0.22447708894200594</v>
      </c>
      <c r="I23" s="275" t="str">
        <f>IF(OR(F23=0,F23="%"),"%",_xlfn.CONCAT(ROUND(H23-F23,3)*100,"pt"))</f>
        <v>0pt</v>
      </c>
      <c r="J23" s="280">
        <f>H23</f>
        <v>0.22447708894200594</v>
      </c>
      <c r="K23" s="275" t="str">
        <f>IF(OR(H23=0,H23="%"),"%",_xlfn.CONCAT(ROUND(J23-H23,3)*100,"pt"))</f>
        <v>0pt</v>
      </c>
      <c r="L23" s="280">
        <f>J23</f>
        <v>0.22447708894200594</v>
      </c>
      <c r="M23" s="275" t="str">
        <f>IF(OR(J23=0,J23="%"),"%",_xlfn.CONCAT(ROUND(L23-J23,3)*100,"pt"))</f>
        <v>0pt</v>
      </c>
      <c r="N23" s="280">
        <f>L23</f>
        <v>0.22447708894200594</v>
      </c>
      <c r="O23" s="275" t="str">
        <f>IF(OR(L23=0,L23="%"),"%",_xlfn.CONCAT(ROUND(N23-L23,3)*100,"pt"))</f>
        <v>0pt</v>
      </c>
      <c r="P23" s="280">
        <f>N23</f>
        <v>0.22447708894200594</v>
      </c>
      <c r="Q23" s="275" t="str">
        <f>IF(OR(N23=0,N23="%"),"%",_xlfn.CONCAT(ROUND(P23-N23,3)*100,"pt"))</f>
        <v>0pt</v>
      </c>
      <c r="R23" s="358" t="str">
        <f>IF(OR(C23=0,C23="%"),"%",_xlfn.CONCAT(ROUND(P23-C23,3)*100,"pt"))</f>
        <v>0pt</v>
      </c>
      <c r="S23" s="276" t="str">
        <f>IF(OR(C23=0,C23="%"),"%",_xlfn.CONCAT(ROUND((P23-C23)/7,3)*100,"pt"))</f>
        <v>0pt</v>
      </c>
      <c r="T23" s="301"/>
    </row>
    <row r="24" spans="1:20" s="169" customFormat="1" x14ac:dyDescent="0.25">
      <c r="A24" s="302"/>
      <c r="B24" s="173" t="s">
        <v>253</v>
      </c>
      <c r="C24" s="254">
        <f>IF(C10=0,"%",(-C18*(1-C$23))/(C10))</f>
        <v>-3.5141213106166823E-2</v>
      </c>
      <c r="D24" s="254">
        <f>IF(D10=0,"%",(-D18*(1-D$23))/(D10))</f>
        <v>3.2994695578708114E-2</v>
      </c>
      <c r="E24" s="275" t="str">
        <f>IF(OR(C24=0,C24="%"),"%",_xlfn.CONCAT(ROUND(D24-C24,3)*100,"pt"))</f>
        <v>6.8pt</v>
      </c>
      <c r="F24" s="254">
        <f>IF(F10=0,"%",(-F18*(1-F$23))/(F10))</f>
        <v>2.5125527209913969E-10</v>
      </c>
      <c r="G24" s="275" t="str">
        <f>IF(OR(D24=0,D24="%"),"%",_xlfn.CONCAT(ROUND(F24-D24,3)*100,"pt"))</f>
        <v>-3.3pt</v>
      </c>
      <c r="H24" s="254">
        <f>IF(H10=0,"%",(-H18*(1-H$23))/(H10))</f>
        <v>-7.8804572096050522E-10</v>
      </c>
      <c r="I24" s="275" t="str">
        <f>IF(OR(F24=0,F24="%"),"%",_xlfn.CONCAT(ROUND(H24-F24,3)*100,"pt"))</f>
        <v>0pt</v>
      </c>
      <c r="J24" s="254">
        <f>IF(J10=0,"%",(-J18*(1-J$23))/(J10))</f>
        <v>7.5007270358078103E-3</v>
      </c>
      <c r="K24" s="275" t="str">
        <f>IF(OR(H24=0,H24="%"),"%",_xlfn.CONCAT(ROUND(J24-H24,3)*100,"pt"))</f>
        <v>0.8pt</v>
      </c>
      <c r="L24" s="254">
        <f>IF(L10=0,"%",(-L18*(1-L$23))/(L10))</f>
        <v>9.0655186041912004E-3</v>
      </c>
      <c r="M24" s="275" t="str">
        <f>IF(OR(J24=0,J24="%"),"%",_xlfn.CONCAT(ROUND(L24-J24,3)*100,"pt"))</f>
        <v>0.2pt</v>
      </c>
      <c r="N24" s="254">
        <f>IF(N10=0,"%",(-N18*(1-N$23))/(N10))</f>
        <v>9.2502171280891693E-3</v>
      </c>
      <c r="O24" s="275" t="str">
        <f>IF(OR(L24=0,L24="%"),"%",_xlfn.CONCAT(ROUND(N24-L24,3)*100,"pt"))</f>
        <v>0pt</v>
      </c>
      <c r="P24" s="254">
        <f>IF(P10=0,"%",(-P18*(1-P$23))/(P10))</f>
        <v>9.4390482488315944E-3</v>
      </c>
      <c r="Q24" s="275" t="str">
        <f>IF(OR(N24=0,N24="%"),"%",_xlfn.CONCAT(ROUND(P24-N24,3)*100,"pt"))</f>
        <v>0pt</v>
      </c>
      <c r="R24" s="358" t="str">
        <f>IF(OR(C24=0,C24="%"),"%",_xlfn.CONCAT(ROUND(P24-C24,3)*100,"pt"))</f>
        <v>4.5pt</v>
      </c>
      <c r="S24" s="276" t="str">
        <f t="shared" ref="S24:S25" si="4">IF(OR(C24=0,C24="%"),"%",_xlfn.CONCAT(ROUND((P24-C24)/7,3)*100,"pt"))</f>
        <v>0.6pt</v>
      </c>
      <c r="T24" s="301"/>
    </row>
    <row r="25" spans="1:20" s="169" customFormat="1" ht="13.8" thickBot="1" x14ac:dyDescent="0.3">
      <c r="A25" s="302"/>
      <c r="B25" s="266" t="s">
        <v>254</v>
      </c>
      <c r="C25" s="240">
        <f>IF(C8=0,"%",(-C18*C$23)/C8)</f>
        <v>-3.5141213106166823E-2</v>
      </c>
      <c r="D25" s="240">
        <f>IF(D8=0,"%",(-D18*D$23)/D8)</f>
        <v>3.4571329624876142E-2</v>
      </c>
      <c r="E25" s="277" t="str">
        <f>IF(OR(C25=0,C25="%"),"%",_xlfn.CONCAT(ROUND(D25-C25,3)*100,"pt"))</f>
        <v>7pt</v>
      </c>
      <c r="F25" s="240">
        <f>IF(F8=0,"%",(-F18*F$23)/F8)</f>
        <v>2.6599300639613945E-10</v>
      </c>
      <c r="G25" s="277" t="str">
        <f>IF(OR(D25=0,D25="%"),"%",_xlfn.CONCAT(ROUND(F25-D25,3)*100,"pt"))</f>
        <v>-3.5pt</v>
      </c>
      <c r="H25" s="240">
        <f>IF(H8=0,"%",(-H18*H$23)/H8)</f>
        <v>-8.3925705995746833E-10</v>
      </c>
      <c r="I25" s="277" t="str">
        <f>IF(OR(F25=0,F25="%"),"%",_xlfn.CONCAT(ROUND(H25-F25,3)*100,"pt"))</f>
        <v>0pt</v>
      </c>
      <c r="J25" s="240">
        <f>IF(J8=0,"%",(-J18*J$23)/J8)</f>
        <v>7.7974818406191804E-3</v>
      </c>
      <c r="K25" s="277" t="str">
        <f>IF(OR(H25=0,H25="%"),"%",_xlfn.CONCAT(ROUND(J25-H25,3)*100,"pt"))</f>
        <v>0.8pt</v>
      </c>
      <c r="L25" s="240">
        <f>IF(L8=0,"%",(-L18*L$23)/L8)</f>
        <v>9.1998195599830197E-3</v>
      </c>
      <c r="M25" s="277" t="str">
        <f>IF(OR(J25=0,J25="%"),"%",_xlfn.CONCAT(ROUND(L25-J25,3)*100,"pt"))</f>
        <v>0.1pt</v>
      </c>
      <c r="N25" s="240">
        <f>IF(N8=0,"%",(-N18*N$23)/N8)</f>
        <v>9.1643478301370214E-3</v>
      </c>
      <c r="O25" s="277" t="str">
        <f>IF(OR(L25=0,L25="%"),"%",_xlfn.CONCAT(ROUND(N25-L25,3)*100,"pt"))</f>
        <v>0pt</v>
      </c>
      <c r="P25" s="240">
        <f>IF(P8=0,"%",(-P18*P$23)/P8)</f>
        <v>9.1299267847578299E-3</v>
      </c>
      <c r="Q25" s="277" t="str">
        <f>IF(OR(N25=0,N25="%"),"%",_xlfn.CONCAT(ROUND(P25-N25,3)*100,"pt"))</f>
        <v>0pt</v>
      </c>
      <c r="R25" s="359" t="str">
        <f>IF(OR(C25=0,C25="%"),"%",_xlfn.CONCAT(ROUND(P25-C25,3)*100,"pt"))</f>
        <v>4.4pt</v>
      </c>
      <c r="S25" s="345" t="str">
        <f t="shared" si="4"/>
        <v>0.6pt</v>
      </c>
      <c r="T25" s="301"/>
    </row>
    <row r="26" spans="1:20" s="169" customFormat="1" x14ac:dyDescent="0.25">
      <c r="A26" s="302"/>
      <c r="T26" s="301"/>
    </row>
    <row r="27" spans="1:20" ht="13.8" thickBot="1" x14ac:dyDescent="0.3">
      <c r="A27" s="302"/>
      <c r="B27" s="169"/>
      <c r="C27" s="169"/>
      <c r="D27" s="169"/>
      <c r="E27" s="169"/>
      <c r="F27" s="169"/>
      <c r="G27" s="169"/>
      <c r="H27" s="169"/>
      <c r="I27" s="169"/>
      <c r="J27" s="169"/>
      <c r="K27" s="169"/>
      <c r="L27" s="169"/>
      <c r="M27" s="169"/>
      <c r="N27" s="169"/>
      <c r="O27" s="169"/>
      <c r="P27" s="169"/>
      <c r="Q27" s="169"/>
      <c r="R27" s="169"/>
      <c r="S27" s="169"/>
      <c r="T27" s="301"/>
    </row>
    <row r="28" spans="1:20" x14ac:dyDescent="0.25">
      <c r="A28" s="302"/>
      <c r="B28" s="480" t="s">
        <v>255</v>
      </c>
      <c r="C28" s="283" t="s">
        <v>256</v>
      </c>
      <c r="D28" s="284">
        <v>0</v>
      </c>
      <c r="E28" s="171" t="s">
        <v>257</v>
      </c>
      <c r="F28" s="171"/>
      <c r="G28" s="171"/>
      <c r="H28" s="171"/>
      <c r="I28" s="171"/>
      <c r="J28" s="171"/>
      <c r="K28" s="171"/>
      <c r="L28" s="171"/>
      <c r="M28" s="171"/>
      <c r="N28" s="171"/>
      <c r="O28" s="171"/>
      <c r="P28" s="171"/>
      <c r="Q28" s="171"/>
      <c r="R28" s="171"/>
      <c r="S28" s="267"/>
      <c r="T28" s="301"/>
    </row>
    <row r="29" spans="1:20" x14ac:dyDescent="0.25">
      <c r="A29" s="302"/>
      <c r="B29" s="481"/>
      <c r="C29" s="245" t="s">
        <v>258</v>
      </c>
      <c r="D29" s="285">
        <v>0</v>
      </c>
      <c r="E29" s="169"/>
      <c r="F29" s="169"/>
      <c r="G29" s="169"/>
      <c r="H29" s="169"/>
      <c r="I29" s="169"/>
      <c r="J29" s="169"/>
      <c r="K29" s="169"/>
      <c r="L29" s="169"/>
      <c r="M29" s="169"/>
      <c r="N29" s="169"/>
      <c r="O29" s="169"/>
      <c r="P29" s="169"/>
      <c r="Q29" s="169"/>
      <c r="R29" s="169"/>
      <c r="S29" s="268"/>
      <c r="T29" s="301"/>
    </row>
    <row r="30" spans="1:20" x14ac:dyDescent="0.25">
      <c r="A30" s="302"/>
      <c r="B30" s="481"/>
      <c r="C30" s="245" t="s">
        <v>259</v>
      </c>
      <c r="D30" s="285">
        <v>0</v>
      </c>
      <c r="E30" s="169"/>
      <c r="F30" s="169"/>
      <c r="G30" s="169"/>
      <c r="H30" s="169"/>
      <c r="I30" s="169"/>
      <c r="J30" s="169"/>
      <c r="K30" s="169"/>
      <c r="L30" s="169"/>
      <c r="M30" s="169"/>
      <c r="N30" s="169"/>
      <c r="O30" s="169"/>
      <c r="P30" s="169"/>
      <c r="Q30" s="169"/>
      <c r="R30" s="169"/>
      <c r="S30" s="268"/>
      <c r="T30" s="301"/>
    </row>
    <row r="31" spans="1:20" ht="13.8" thickBot="1" x14ac:dyDescent="0.3">
      <c r="A31" s="302"/>
      <c r="B31" s="482"/>
      <c r="C31" s="282" t="s">
        <v>260</v>
      </c>
      <c r="D31" s="271">
        <f>SUM(D28:D30)</f>
        <v>0</v>
      </c>
      <c r="E31" s="245"/>
      <c r="F31" s="169"/>
      <c r="G31" s="169"/>
      <c r="H31" s="169"/>
      <c r="I31" s="169"/>
      <c r="J31" s="169"/>
      <c r="K31" s="169"/>
      <c r="L31" s="169"/>
      <c r="M31" s="169"/>
      <c r="N31" s="169"/>
      <c r="O31" s="169"/>
      <c r="P31" s="169"/>
      <c r="Q31" s="169"/>
      <c r="R31" s="169"/>
      <c r="S31" s="268"/>
      <c r="T31" s="301"/>
    </row>
    <row r="32" spans="1:20" ht="13.8" thickBot="1" x14ac:dyDescent="0.3">
      <c r="A32" s="302"/>
      <c r="B32" s="172"/>
      <c r="C32" s="169"/>
      <c r="D32" s="169"/>
      <c r="E32" s="169"/>
      <c r="F32" s="169"/>
      <c r="G32" s="169"/>
      <c r="H32" s="169"/>
      <c r="I32" s="169"/>
      <c r="J32" s="169"/>
      <c r="K32" s="169"/>
      <c r="L32" s="169"/>
      <c r="M32" s="169"/>
      <c r="N32" s="169"/>
      <c r="O32" s="169"/>
      <c r="P32" s="169"/>
      <c r="Q32" s="169"/>
      <c r="R32" s="169"/>
      <c r="S32" s="346"/>
      <c r="T32" s="301"/>
    </row>
    <row r="33" spans="1:20" x14ac:dyDescent="0.25">
      <c r="A33" s="302"/>
      <c r="B33" s="312"/>
      <c r="C33" s="308" t="s">
        <v>95</v>
      </c>
      <c r="D33" s="308" t="s">
        <v>96</v>
      </c>
      <c r="E33" s="309" t="s">
        <v>104</v>
      </c>
      <c r="F33" s="310" t="s">
        <v>173</v>
      </c>
      <c r="G33" s="309" t="s">
        <v>104</v>
      </c>
      <c r="H33" s="310" t="s">
        <v>174</v>
      </c>
      <c r="I33" s="309" t="s">
        <v>104</v>
      </c>
      <c r="J33" s="311" t="s">
        <v>175</v>
      </c>
      <c r="K33" s="309" t="s">
        <v>104</v>
      </c>
      <c r="L33" s="311" t="s">
        <v>176</v>
      </c>
      <c r="M33" s="309" t="s">
        <v>104</v>
      </c>
      <c r="N33" s="311" t="s">
        <v>177</v>
      </c>
      <c r="O33" s="309" t="s">
        <v>104</v>
      </c>
      <c r="P33" s="311" t="s">
        <v>178</v>
      </c>
      <c r="Q33" s="309" t="s">
        <v>104</v>
      </c>
      <c r="R33" s="360" t="s">
        <v>238</v>
      </c>
      <c r="S33" s="337" t="s">
        <v>239</v>
      </c>
      <c r="T33" s="301"/>
    </row>
    <row r="34" spans="1:20" x14ac:dyDescent="0.25">
      <c r="A34" s="302"/>
      <c r="B34" s="173" t="s">
        <v>261</v>
      </c>
      <c r="C34" s="241">
        <f>IF(C14=0,"%",(-C18*$D$28)/C14)</f>
        <v>0</v>
      </c>
      <c r="D34" s="241">
        <f>IF(D14=0,"%",(-D18*$D$28)/D14)</f>
        <v>0</v>
      </c>
      <c r="E34" s="275" t="str">
        <f>IF(OR(C34=0,C34="%"),"%",_xlfn.CONCAT(ROUND(D34-C34,3)*100,"pt"))</f>
        <v>%</v>
      </c>
      <c r="F34" s="241">
        <f>IF(F14=0,"%",(-F18*$D$28)/F14)</f>
        <v>0</v>
      </c>
      <c r="G34" s="275" t="str">
        <f>IF(OR(D34=0,D34="%"),"%",_xlfn.CONCAT(ROUND(F34-D34,3)*100,"pt"))</f>
        <v>%</v>
      </c>
      <c r="H34" s="241">
        <f>IF(H14=0,"%",(-H18*$D$28)/H14)</f>
        <v>0</v>
      </c>
      <c r="I34" s="275" t="str">
        <f>IF(OR(F34=0,F34="%"),"%",_xlfn.CONCAT(ROUND(H34-F34,3)*100,"pt"))</f>
        <v>%</v>
      </c>
      <c r="J34" s="241">
        <f>IF(J14=0,"%",(-J18*$D$28)/J14)</f>
        <v>0</v>
      </c>
      <c r="K34" s="275" t="str">
        <f>IF(OR(H34=0,H34="%"),"%",_xlfn.CONCAT(ROUND(J34-H34,3)*100,"pt"))</f>
        <v>%</v>
      </c>
      <c r="L34" s="241">
        <f>IF(L14=0,"%",(-L18*$D$28)/L14)</f>
        <v>0</v>
      </c>
      <c r="M34" s="275" t="str">
        <f>IF(OR(J34=0,J34="%"),"%",_xlfn.CONCAT(ROUND(L34-J34,3)*100,"pt"))</f>
        <v>%</v>
      </c>
      <c r="N34" s="241">
        <f>IF(N14=0,"%",(-N18*$D$28)/N14)</f>
        <v>0</v>
      </c>
      <c r="O34" s="275" t="str">
        <f>IF(OR(L34=0,L34="%"),"%",_xlfn.CONCAT(ROUND(N34-L34,3)*100,"pt"))</f>
        <v>%</v>
      </c>
      <c r="P34" s="241">
        <f>IF(P14=0,"%",(-P18*$D$28)/P14)</f>
        <v>0</v>
      </c>
      <c r="Q34" s="275" t="str">
        <f>IF(OR(N34=0,N34="%"),"%",_xlfn.CONCAT(ROUND(P34-N34,3)*100,"pt"))</f>
        <v>%</v>
      </c>
      <c r="R34" s="358" t="str">
        <f>IF(OR(C34=0,C34="%"),"%",_xlfn.CONCAT(ROUND(P34-C34,3)*100,"pt"))</f>
        <v>%</v>
      </c>
      <c r="S34" s="276" t="str">
        <f t="shared" ref="S34:S37" si="5">IF(OR(C34=0,C34="%"),"%",_xlfn.CONCAT(ROUND((P34-C34)/7,3)*100,"pt"))</f>
        <v>%</v>
      </c>
      <c r="T34" s="301"/>
    </row>
    <row r="35" spans="1:20" x14ac:dyDescent="0.25">
      <c r="A35" s="302"/>
      <c r="B35" s="173" t="s">
        <v>262</v>
      </c>
      <c r="C35" s="241">
        <f>IF(C10=0,"%",(-C18*$D$29)/(C10))</f>
        <v>0</v>
      </c>
      <c r="D35" s="241">
        <f>IF(D10=0,"%",(-D18*$D$29)/(D10))</f>
        <v>0</v>
      </c>
      <c r="E35" s="275" t="str">
        <f>IF(OR(C35=0,C35="%"),"%",_xlfn.CONCAT(ROUND(D35-C35,3)*100,"pt"))</f>
        <v>%</v>
      </c>
      <c r="F35" s="241">
        <f>IF(F10=0,"%",(-F18*$D$29)/(F10))</f>
        <v>0</v>
      </c>
      <c r="G35" s="275" t="str">
        <f>IF(OR(D35=0,D35="%"),"%",_xlfn.CONCAT(ROUND(F35-D35,3)*100,"pt"))</f>
        <v>%</v>
      </c>
      <c r="H35" s="241">
        <f>IF(H10=0,"%",(-H18*$D$29)/(H10))</f>
        <v>0</v>
      </c>
      <c r="I35" s="275" t="str">
        <f>IF(OR(F35=0,F35="%"),"%",_xlfn.CONCAT(ROUND(H35-F35,3)*100,"pt"))</f>
        <v>%</v>
      </c>
      <c r="J35" s="241">
        <f>IF(J10=0,"%",(-J18*$D$29)/(J10))</f>
        <v>0</v>
      </c>
      <c r="K35" s="275" t="str">
        <f>IF(OR(H35=0,H35="%"),"%",_xlfn.CONCAT(ROUND(J35-H35,3)*100,"pt"))</f>
        <v>%</v>
      </c>
      <c r="L35" s="241">
        <f>IF(L10=0,"%",(-L18*$D$29)/(L10))</f>
        <v>0</v>
      </c>
      <c r="M35" s="275" t="str">
        <f>IF(OR(J35=0,J35="%"),"%",_xlfn.CONCAT(ROUND(L35-J35,3)*100,"pt"))</f>
        <v>%</v>
      </c>
      <c r="N35" s="241">
        <f>IF(N10=0,"%",(-N18*$D$29)/(N10))</f>
        <v>0</v>
      </c>
      <c r="O35" s="275" t="str">
        <f>IF(OR(L35=0,L35="%"),"%",_xlfn.CONCAT(ROUND(N35-L35,3)*100,"pt"))</f>
        <v>%</v>
      </c>
      <c r="P35" s="241">
        <f>IF(P10=0,"%",(-P18*$D$29)/(P10))</f>
        <v>0</v>
      </c>
      <c r="Q35" s="275" t="str">
        <f>IF(OR(N35=0,N35="%"),"%",_xlfn.CONCAT(ROUND(P35-N35,3)*100,"pt"))</f>
        <v>%</v>
      </c>
      <c r="R35" s="358" t="str">
        <f>IF(OR(C35=0,C35="%"),"%",_xlfn.CONCAT(ROUND(P35-C35,3)*100,"pt"))</f>
        <v>%</v>
      </c>
      <c r="S35" s="276" t="str">
        <f t="shared" si="5"/>
        <v>%</v>
      </c>
      <c r="T35" s="301"/>
    </row>
    <row r="36" spans="1:20" x14ac:dyDescent="0.25">
      <c r="A36" s="302"/>
      <c r="B36" s="173" t="s">
        <v>254</v>
      </c>
      <c r="C36" s="241">
        <f>IF(C8=0,"%",(-C18*$D$30)/C8)</f>
        <v>0</v>
      </c>
      <c r="D36" s="241">
        <f>IF(D8=0,"%",(-D18*$D$30)/D8)</f>
        <v>0</v>
      </c>
      <c r="E36" s="275" t="str">
        <f>IF(OR(C36=0,C36="%"),"%",_xlfn.CONCAT(ROUND(D36-C36,3)*100,"pt"))</f>
        <v>%</v>
      </c>
      <c r="F36" s="241">
        <f>IF(F8=0,"%",(-F18*$D$30)/F8)</f>
        <v>0</v>
      </c>
      <c r="G36" s="275" t="str">
        <f>IF(OR(D36=0,D36="%"),"%",_xlfn.CONCAT(ROUND(F36-D36,3)*100,"pt"))</f>
        <v>%</v>
      </c>
      <c r="H36" s="241">
        <f>IF(H8=0,"%",(-H18*$D$30)/H8)</f>
        <v>0</v>
      </c>
      <c r="I36" s="275" t="str">
        <f>IF(OR(F36=0,F36="%"),"%",_xlfn.CONCAT(ROUND(H36-F36,3)*100,"pt"))</f>
        <v>%</v>
      </c>
      <c r="J36" s="241">
        <f>IF(J8=0,"%",(-J18*$D$30)/J8)</f>
        <v>0</v>
      </c>
      <c r="K36" s="275" t="str">
        <f>IF(OR(H36=0,H36="%"),"%",_xlfn.CONCAT(ROUND(J36-H36,3)*100,"pt"))</f>
        <v>%</v>
      </c>
      <c r="L36" s="241">
        <f>IF(L8=0,"%",(-L18*$D$30)/L8)</f>
        <v>0</v>
      </c>
      <c r="M36" s="275" t="str">
        <f>IF(OR(J36=0,J36="%"),"%",_xlfn.CONCAT(ROUND(L36-J36,3)*100,"pt"))</f>
        <v>%</v>
      </c>
      <c r="N36" s="241">
        <f>IF(N8=0,"%",(-N18*$D$30)/N8)</f>
        <v>0</v>
      </c>
      <c r="O36" s="275" t="str">
        <f>IF(OR(L36=0,L36="%"),"%",_xlfn.CONCAT(ROUND(N36-L36,3)*100,"pt"))</f>
        <v>%</v>
      </c>
      <c r="P36" s="241">
        <f>IF(P8=0,"%",(-P18*$D$30)/P8)</f>
        <v>0</v>
      </c>
      <c r="Q36" s="275" t="str">
        <f>IF(OR(N36=0,N36="%"),"%",_xlfn.CONCAT(ROUND(P36-N36,3)*100,"pt"))</f>
        <v>%</v>
      </c>
      <c r="R36" s="358" t="str">
        <f>IF(OR(C36=0,C36="%"),"%",_xlfn.CONCAT(ROUND(P36-C36,3)*100,"pt"))</f>
        <v>%</v>
      </c>
      <c r="S36" s="276" t="str">
        <f t="shared" si="5"/>
        <v>%</v>
      </c>
      <c r="T36" s="301"/>
    </row>
    <row r="37" spans="1:20" ht="13.8" thickBot="1" x14ac:dyDescent="0.3">
      <c r="A37" s="302"/>
      <c r="B37" s="269" t="s">
        <v>245</v>
      </c>
      <c r="C37" s="270">
        <f>IF(C8=0,"%",((1+C36)*C8)/(((1+C35)*C10)+((1+C36)*C8)))</f>
        <v>0.22447708894200594</v>
      </c>
      <c r="D37" s="270">
        <f>IF(D8=0,"%",((1+D36)*D8)/(((1+D35)*D10)+((1+D36)*D8)))</f>
        <v>0.21645568469856155</v>
      </c>
      <c r="E37" s="277" t="str">
        <f>IF(OR(C37=0,C37="%"),"%",_xlfn.CONCAT(ROUND(D37-C37,3)*100,"pt"))</f>
        <v>-0.8pt</v>
      </c>
      <c r="F37" s="270">
        <f>IF(F8=0,"%",((1+F36)*F8)/(((1+F35)*F10)+((1+F36)*F8)))</f>
        <v>0.21471005805616517</v>
      </c>
      <c r="G37" s="277" t="str">
        <f>IF(OR(D37=0,D37="%"),"%",_xlfn.CONCAT(ROUND(F37-D37,3)*100,"pt"))</f>
        <v>-0.2pt</v>
      </c>
      <c r="H37" s="270">
        <f>IF(H8=0,"%",((1+H36)*H8)/(((1+H35)*H10)+((1+H36)*H8)))</f>
        <v>0.21370679208107199</v>
      </c>
      <c r="I37" s="277" t="str">
        <f>IF(OR(F37=0,F37="%"),"%",_xlfn.CONCAT(ROUND(H37-F37,3)*100,"pt"))</f>
        <v>-0.1pt</v>
      </c>
      <c r="J37" s="270">
        <f>IF(J8=0,"%",((1+J36)*J8)/(((1+J35)*J10)+((1+J36)*J8)))</f>
        <v>0.21779463150219797</v>
      </c>
      <c r="K37" s="277" t="str">
        <f>IF(OR(H37=0,H37="%"),"%",_xlfn.CONCAT(ROUND(J37-H37,3)*100,"pt"))</f>
        <v>0.4pt</v>
      </c>
      <c r="L37" s="270">
        <f>IF(L8=0,"%",((1+L36)*L8)/(((1+L35)*L10)+((1+L36)*L8)))</f>
        <v>0.2219273720973097</v>
      </c>
      <c r="M37" s="277" t="str">
        <f>IF(OR(J37=0,J37="%"),"%",_xlfn.CONCAT(ROUND(L37-J37,3)*100,"pt"))</f>
        <v>0.4pt</v>
      </c>
      <c r="N37" s="270">
        <f>IF(N8=0,"%",((1+N36)*N8)/(((1+N35)*N10)+((1+N36)*N8)))</f>
        <v>0.22610484940222347</v>
      </c>
      <c r="O37" s="277" t="str">
        <f>IF(OR(L37=0,L37="%"),"%",_xlfn.CONCAT(ROUND(N37-L37,3)*100,"pt"))</f>
        <v>0.4pt</v>
      </c>
      <c r="P37" s="270">
        <f>IF(P8=0,"%",((1+P36)*P8)/(((1+P35)*P10)+((1+P36)*P8)))</f>
        <v>0.23032687804584309</v>
      </c>
      <c r="Q37" s="277" t="str">
        <f>IF(OR(N37=0,N37="%"),"%",_xlfn.CONCAT(ROUND(P37-N37,3)*100,"pt"))</f>
        <v>0.4pt</v>
      </c>
      <c r="R37" s="359" t="str">
        <f>IF(OR(C37=0,C37="%"),"%",_xlfn.CONCAT(ROUND(P37-C37,3)*100,"pt"))</f>
        <v>0.6pt</v>
      </c>
      <c r="S37" s="345" t="str">
        <f t="shared" si="5"/>
        <v>0.1pt</v>
      </c>
      <c r="T37" s="301"/>
    </row>
    <row r="38" spans="1:20" x14ac:dyDescent="0.25">
      <c r="A38" s="302"/>
      <c r="B38" s="169"/>
      <c r="C38" s="169"/>
      <c r="D38" s="169"/>
      <c r="E38" s="169"/>
      <c r="F38" s="169"/>
      <c r="G38" s="169"/>
      <c r="H38" s="169"/>
      <c r="I38" s="169"/>
      <c r="J38" s="169"/>
      <c r="K38" s="169"/>
      <c r="L38" s="169"/>
      <c r="M38" s="169"/>
      <c r="N38" s="169"/>
      <c r="O38" s="169"/>
      <c r="P38" s="169"/>
      <c r="Q38" s="169"/>
      <c r="R38" s="169"/>
      <c r="S38" s="169"/>
      <c r="T38" s="301"/>
    </row>
    <row r="39" spans="1:20" x14ac:dyDescent="0.25">
      <c r="A39" s="302"/>
      <c r="B39" s="169"/>
      <c r="C39" s="169"/>
      <c r="D39" s="169"/>
      <c r="E39" s="169"/>
      <c r="F39" s="169"/>
      <c r="G39" s="169"/>
      <c r="H39" s="169"/>
      <c r="I39" s="169"/>
      <c r="J39" s="169"/>
      <c r="K39" s="169"/>
      <c r="L39" s="169"/>
      <c r="M39" s="169"/>
      <c r="N39" s="169"/>
      <c r="O39" s="169"/>
      <c r="P39" s="169"/>
      <c r="Q39" s="169"/>
      <c r="R39" s="169"/>
      <c r="S39" s="169"/>
      <c r="T39" s="301"/>
    </row>
    <row r="40" spans="1:20" x14ac:dyDescent="0.25">
      <c r="A40" s="304"/>
      <c r="B40" s="170"/>
      <c r="C40" s="170"/>
      <c r="D40" s="170"/>
      <c r="E40" s="170"/>
      <c r="F40" s="170"/>
      <c r="G40" s="170"/>
      <c r="H40" s="170"/>
      <c r="I40" s="170"/>
      <c r="J40" s="170"/>
      <c r="K40" s="170"/>
      <c r="L40" s="170"/>
      <c r="M40" s="170"/>
      <c r="N40" s="170"/>
      <c r="O40" s="170"/>
      <c r="P40" s="170"/>
      <c r="Q40" s="170"/>
      <c r="R40" s="170"/>
      <c r="S40" s="170"/>
      <c r="T40" s="305"/>
    </row>
  </sheetData>
  <mergeCells count="4">
    <mergeCell ref="B28:B31"/>
    <mergeCell ref="A2:G2"/>
    <mergeCell ref="R6:S6"/>
    <mergeCell ref="A3:S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5"/>
  <sheetViews>
    <sheetView zoomScale="80" zoomScaleNormal="80" workbookViewId="0">
      <selection activeCell="C12" sqref="C12"/>
    </sheetView>
  </sheetViews>
  <sheetFormatPr defaultColWidth="9.109375" defaultRowHeight="13.2" x14ac:dyDescent="0.25"/>
  <cols>
    <col min="1" max="1" width="9.109375" style="1"/>
    <col min="2" max="2" width="50.5546875" style="1" customWidth="1"/>
    <col min="3" max="3" width="40" style="1" customWidth="1"/>
    <col min="4" max="4" width="18.5546875" style="1" customWidth="1"/>
    <col min="5" max="5" width="15.44140625" style="1" customWidth="1"/>
    <col min="6" max="6" width="18.5546875" style="1" customWidth="1"/>
    <col min="7" max="7" width="16.44140625" style="1" customWidth="1"/>
    <col min="8" max="8" width="73.33203125" style="1" customWidth="1"/>
    <col min="9" max="16384" width="9.109375" style="1"/>
  </cols>
  <sheetData>
    <row r="1" spans="1:8" ht="20.100000000000001" customHeight="1" x14ac:dyDescent="0.25">
      <c r="A1" s="58" t="s">
        <v>263</v>
      </c>
      <c r="B1" s="58"/>
      <c r="C1" s="58"/>
      <c r="D1" s="58"/>
      <c r="E1" s="58"/>
      <c r="F1" s="58"/>
      <c r="G1" s="58"/>
    </row>
    <row r="2" spans="1:8" ht="20.100000000000001" customHeight="1" x14ac:dyDescent="0.25">
      <c r="A2" s="493" t="str">
        <f>'Institution ID'!C3</f>
        <v>William &amp; Mary</v>
      </c>
      <c r="B2" s="493"/>
      <c r="C2" s="493"/>
      <c r="D2" s="493"/>
      <c r="E2" s="493"/>
      <c r="F2" s="493"/>
      <c r="G2" s="493"/>
    </row>
    <row r="3" spans="1:8" s="6" customFormat="1" ht="30" customHeight="1" x14ac:dyDescent="0.25">
      <c r="A3" s="486" t="s">
        <v>27</v>
      </c>
      <c r="B3" s="486"/>
      <c r="C3" s="486"/>
      <c r="D3" s="486"/>
      <c r="E3" s="486"/>
      <c r="F3" s="486"/>
      <c r="G3" s="486"/>
      <c r="H3" s="486"/>
    </row>
    <row r="4" spans="1:8" s="6" customFormat="1" ht="114" customHeight="1" thickBot="1" x14ac:dyDescent="0.3">
      <c r="A4" s="501"/>
      <c r="B4" s="501"/>
      <c r="C4" s="501"/>
      <c r="D4" s="501"/>
      <c r="E4" s="501"/>
      <c r="F4" s="501"/>
      <c r="G4" s="501"/>
      <c r="H4" s="501"/>
    </row>
    <row r="5" spans="1:8" s="3" customFormat="1" ht="20.100000000000001" customHeight="1" thickBot="1" x14ac:dyDescent="0.3">
      <c r="A5" s="494" t="s">
        <v>264</v>
      </c>
      <c r="B5" s="488" t="s">
        <v>265</v>
      </c>
      <c r="C5" s="489"/>
      <c r="D5" s="489"/>
      <c r="E5" s="489"/>
      <c r="F5" s="489"/>
      <c r="G5" s="489"/>
      <c r="H5" s="490" t="s">
        <v>266</v>
      </c>
    </row>
    <row r="6" spans="1:8" s="3" customFormat="1" ht="20.100000000000001" customHeight="1" thickBot="1" x14ac:dyDescent="0.3">
      <c r="A6" s="495"/>
      <c r="B6" s="48"/>
      <c r="C6" s="388"/>
      <c r="D6" s="488" t="s">
        <v>267</v>
      </c>
      <c r="E6" s="489"/>
      <c r="F6" s="489"/>
      <c r="G6" s="489"/>
      <c r="H6" s="491"/>
    </row>
    <row r="7" spans="1:8" s="3" customFormat="1" ht="20.100000000000001" customHeight="1" thickBot="1" x14ac:dyDescent="0.3">
      <c r="A7" s="495"/>
      <c r="B7" s="490" t="s">
        <v>268</v>
      </c>
      <c r="C7" s="498" t="s">
        <v>269</v>
      </c>
      <c r="D7" s="489"/>
      <c r="E7" s="489"/>
      <c r="F7" s="489"/>
      <c r="G7" s="489"/>
      <c r="H7" s="491"/>
    </row>
    <row r="8" spans="1:8" s="3" customFormat="1" ht="20.100000000000001" customHeight="1" thickBot="1" x14ac:dyDescent="0.3">
      <c r="A8" s="495"/>
      <c r="B8" s="491"/>
      <c r="C8" s="499"/>
      <c r="D8" s="488" t="s">
        <v>173</v>
      </c>
      <c r="E8" s="489"/>
      <c r="F8" s="492" t="s">
        <v>174</v>
      </c>
      <c r="G8" s="489"/>
      <c r="H8" s="491"/>
    </row>
    <row r="9" spans="1:8" s="3" customFormat="1" ht="42" customHeight="1" thickBot="1" x14ac:dyDescent="0.3">
      <c r="A9" s="496"/>
      <c r="B9" s="497"/>
      <c r="C9" s="500"/>
      <c r="D9" s="59" t="s">
        <v>181</v>
      </c>
      <c r="E9" s="60" t="s">
        <v>270</v>
      </c>
      <c r="F9" s="61" t="s">
        <v>181</v>
      </c>
      <c r="G9" s="60" t="s">
        <v>270</v>
      </c>
      <c r="H9" s="491"/>
    </row>
    <row r="10" spans="1:8" ht="30" customHeight="1" x14ac:dyDescent="0.25">
      <c r="A10" s="44"/>
      <c r="B10" s="393" t="s">
        <v>276</v>
      </c>
      <c r="C10" s="49" t="s">
        <v>277</v>
      </c>
      <c r="D10" s="42">
        <v>4400000</v>
      </c>
      <c r="E10" s="42">
        <v>4400000</v>
      </c>
      <c r="F10" s="42">
        <v>4400000</v>
      </c>
      <c r="G10" s="42">
        <v>4400000</v>
      </c>
      <c r="H10" s="381" t="s">
        <v>278</v>
      </c>
    </row>
    <row r="11" spans="1:8" ht="42.75" customHeight="1" x14ac:dyDescent="0.25">
      <c r="A11" s="44"/>
      <c r="B11" s="393" t="s">
        <v>274</v>
      </c>
      <c r="C11" s="49" t="s">
        <v>275</v>
      </c>
      <c r="D11" s="42">
        <v>4100000</v>
      </c>
      <c r="E11" s="42">
        <v>4100000</v>
      </c>
      <c r="F11" s="42">
        <v>4100000</v>
      </c>
      <c r="G11" s="42">
        <v>4100000</v>
      </c>
      <c r="H11" s="381" t="s">
        <v>372</v>
      </c>
    </row>
    <row r="12" spans="1:8" ht="29.25" customHeight="1" x14ac:dyDescent="0.25">
      <c r="A12" s="44"/>
      <c r="B12" s="393" t="s">
        <v>271</v>
      </c>
      <c r="C12" s="49" t="s">
        <v>272</v>
      </c>
      <c r="D12" s="42">
        <f>1125000+2700000</f>
        <v>3825000</v>
      </c>
      <c r="E12" s="42">
        <f>1125000+2700000</f>
        <v>3825000</v>
      </c>
      <c r="F12" s="42">
        <v>1125000</v>
      </c>
      <c r="G12" s="42">
        <v>1125000</v>
      </c>
      <c r="H12" s="381" t="s">
        <v>273</v>
      </c>
    </row>
    <row r="13" spans="1:8" ht="33" customHeight="1" x14ac:dyDescent="0.25">
      <c r="A13" s="44"/>
      <c r="B13" s="393" t="s">
        <v>199</v>
      </c>
      <c r="C13" s="49" t="s">
        <v>279</v>
      </c>
      <c r="D13" s="42">
        <f>110750+68457</f>
        <v>179207</v>
      </c>
      <c r="E13" s="42">
        <v>68457</v>
      </c>
      <c r="F13" s="42">
        <f>105776+171124+299335+484265</f>
        <v>1060500</v>
      </c>
      <c r="G13" s="42">
        <f>105776+299335</f>
        <v>405111</v>
      </c>
      <c r="H13" s="381" t="s">
        <v>280</v>
      </c>
    </row>
    <row r="14" spans="1:8" ht="20.100000000000001" customHeight="1" x14ac:dyDescent="0.25">
      <c r="A14" s="44"/>
      <c r="B14" s="393"/>
      <c r="C14" s="49"/>
      <c r="D14" s="42">
        <v>0</v>
      </c>
      <c r="E14" s="42">
        <v>0</v>
      </c>
      <c r="F14" s="42">
        <v>0</v>
      </c>
      <c r="G14" s="42">
        <v>0</v>
      </c>
      <c r="H14" s="381"/>
    </row>
    <row r="15" spans="1:8" ht="20.100000000000001" customHeight="1" x14ac:dyDescent="0.25">
      <c r="A15" s="44"/>
      <c r="B15" s="393"/>
      <c r="C15" s="49"/>
      <c r="D15" s="42">
        <v>0</v>
      </c>
      <c r="E15" s="42">
        <v>0</v>
      </c>
      <c r="F15" s="42">
        <v>0</v>
      </c>
      <c r="G15" s="42">
        <v>0</v>
      </c>
      <c r="H15" s="381"/>
    </row>
    <row r="16" spans="1:8" ht="20.100000000000001" customHeight="1" thickBot="1" x14ac:dyDescent="0.3">
      <c r="A16" s="44"/>
      <c r="B16" s="45"/>
      <c r="C16" s="49"/>
      <c r="D16" s="42">
        <f>0</f>
        <v>0</v>
      </c>
      <c r="E16" s="42">
        <f>0</f>
        <v>0</v>
      </c>
      <c r="F16" s="42">
        <f>0</f>
        <v>0</v>
      </c>
      <c r="G16" s="42">
        <f>0</f>
        <v>0</v>
      </c>
      <c r="H16" s="381"/>
    </row>
    <row r="17" spans="1:8" ht="20.100000000000001" customHeight="1" thickBot="1" x14ac:dyDescent="0.3">
      <c r="A17" s="44"/>
      <c r="B17" s="45"/>
      <c r="C17" s="49"/>
      <c r="D17" s="42">
        <f>0</f>
        <v>0</v>
      </c>
      <c r="E17" s="42">
        <f>0</f>
        <v>0</v>
      </c>
      <c r="F17" s="42">
        <f>0</f>
        <v>0</v>
      </c>
      <c r="G17" s="42">
        <f>0</f>
        <v>0</v>
      </c>
      <c r="H17" s="381"/>
    </row>
    <row r="18" spans="1:8" ht="20.100000000000001" customHeight="1" x14ac:dyDescent="0.25">
      <c r="A18" s="44"/>
      <c r="B18" s="45"/>
      <c r="C18" s="49"/>
      <c r="D18" s="42">
        <f>0</f>
        <v>0</v>
      </c>
      <c r="E18" s="42">
        <f>0</f>
        <v>0</v>
      </c>
      <c r="F18" s="42">
        <f>0</f>
        <v>0</v>
      </c>
      <c r="G18" s="42">
        <f>0</f>
        <v>0</v>
      </c>
      <c r="H18" s="381"/>
    </row>
    <row r="19" spans="1:8" ht="20.100000000000001" customHeight="1" x14ac:dyDescent="0.25">
      <c r="A19" s="44"/>
      <c r="B19" s="45"/>
      <c r="C19" s="49"/>
      <c r="D19" s="42">
        <f>0</f>
        <v>0</v>
      </c>
      <c r="E19" s="42">
        <f>0</f>
        <v>0</v>
      </c>
      <c r="F19" s="42">
        <f>0</f>
        <v>0</v>
      </c>
      <c r="G19" s="42">
        <f>0</f>
        <v>0</v>
      </c>
      <c r="H19" s="381"/>
    </row>
    <row r="20" spans="1:8" ht="20.100000000000001" customHeight="1" thickBot="1" x14ac:dyDescent="0.3">
      <c r="A20" s="44"/>
      <c r="B20" s="45"/>
      <c r="C20" s="49"/>
      <c r="D20" s="42">
        <f>0</f>
        <v>0</v>
      </c>
      <c r="E20" s="42">
        <f>0</f>
        <v>0</v>
      </c>
      <c r="F20" s="42">
        <f>0</f>
        <v>0</v>
      </c>
      <c r="G20" s="42">
        <f>0</f>
        <v>0</v>
      </c>
      <c r="H20" s="381"/>
    </row>
    <row r="21" spans="1:8" ht="20.100000000000001" customHeight="1" thickBot="1" x14ac:dyDescent="0.3">
      <c r="A21" s="44"/>
      <c r="B21" s="45"/>
      <c r="C21" s="49"/>
      <c r="D21" s="42">
        <f>0</f>
        <v>0</v>
      </c>
      <c r="E21" s="42">
        <f>0</f>
        <v>0</v>
      </c>
      <c r="F21" s="42">
        <f>0</f>
        <v>0</v>
      </c>
      <c r="G21" s="42">
        <f>0</f>
        <v>0</v>
      </c>
      <c r="H21" s="381"/>
    </row>
    <row r="22" spans="1:8" ht="20.100000000000001" customHeight="1" thickTop="1" thickBot="1" x14ac:dyDescent="0.3">
      <c r="A22" s="46"/>
      <c r="B22" s="47"/>
      <c r="C22" s="50"/>
      <c r="D22" s="43">
        <f>0</f>
        <v>0</v>
      </c>
      <c r="E22" s="43">
        <f>0</f>
        <v>0</v>
      </c>
      <c r="F22" s="43">
        <f>0</f>
        <v>0</v>
      </c>
      <c r="G22" s="43">
        <f>0</f>
        <v>0</v>
      </c>
      <c r="H22" s="381"/>
    </row>
    <row r="23" spans="1:8" ht="20.100000000000001" customHeight="1" thickTop="1" thickBot="1" x14ac:dyDescent="0.3">
      <c r="A23" s="46"/>
      <c r="B23" s="47"/>
      <c r="C23" s="50"/>
      <c r="D23" s="55">
        <f>0</f>
        <v>0</v>
      </c>
      <c r="E23" s="55">
        <f>0</f>
        <v>0</v>
      </c>
      <c r="F23" s="55">
        <f>0</f>
        <v>0</v>
      </c>
      <c r="G23" s="55">
        <f>0</f>
        <v>0</v>
      </c>
      <c r="H23" s="381"/>
    </row>
    <row r="24" spans="1:8" ht="15.6" thickTop="1" x14ac:dyDescent="0.25">
      <c r="A24" s="112"/>
      <c r="B24" s="112"/>
      <c r="C24" s="52"/>
      <c r="D24" s="51">
        <f t="shared" ref="D24:G24" si="0">SUM(D10:D23)</f>
        <v>12504207</v>
      </c>
      <c r="E24" s="53">
        <f t="shared" si="0"/>
        <v>12393457</v>
      </c>
      <c r="F24" s="54">
        <f t="shared" si="0"/>
        <v>10685500</v>
      </c>
      <c r="G24" s="53">
        <f t="shared" si="0"/>
        <v>10030111</v>
      </c>
      <c r="H24" s="112"/>
    </row>
    <row r="25" spans="1:8" x14ac:dyDescent="0.25">
      <c r="B25" s="487"/>
      <c r="C25" s="487"/>
      <c r="D25" s="487"/>
      <c r="E25" s="487"/>
    </row>
  </sheetData>
  <mergeCells count="12">
    <mergeCell ref="B25:E25"/>
    <mergeCell ref="D8:E8"/>
    <mergeCell ref="H5:H9"/>
    <mergeCell ref="F8:G8"/>
    <mergeCell ref="A2:G2"/>
    <mergeCell ref="A5:A9"/>
    <mergeCell ref="B5:G5"/>
    <mergeCell ref="D6:G6"/>
    <mergeCell ref="B7:B9"/>
    <mergeCell ref="C7:C9"/>
    <mergeCell ref="D7:G7"/>
    <mergeCell ref="A3:H4"/>
  </mergeCells>
  <pageMargins left="0.7" right="0.45" top="0.25" bottom="0.5" header="0" footer="0.15"/>
  <pageSetup scale="72" fitToHeight="0" orientation="landscape" horizontalDpi="1200" verticalDpi="1200" r:id="rId1"/>
  <headerFooter>
    <oddFooter>&amp;L2017 Six-Year Plan - Academic-Financial Plan&amp;C&amp;P of &amp;N&amp;RSCHEV - 5/23/17</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6C806D9-A5D2-4599-8644-362BAA128E8F}">
          <x14:formula1>
            <xm:f>'GF Request Categories'!$A$2:$A$16</xm:f>
          </x14:formula1>
          <xm:sqref>C10:C23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1e94d65-ae71-498a-a453-e1c80605881d" xsi:nil="true"/>
    <lcf76f155ced4ddcb4097134ff3c332f xmlns="f3d35a40-bbea-43c8-99cf-c6b5d40b3585">
      <Terms xmlns="http://schemas.microsoft.com/office/infopath/2007/PartnerControls"/>
    </lcf76f155ced4ddcb4097134ff3c332f>
    <SharedWithUsers xmlns="01e94d65-ae71-498a-a453-e1c80605881d">
      <UserInfo>
        <DisplayName/>
        <AccountId xsi:nil="true"/>
        <AccountType/>
      </UserInfo>
    </SharedWithUsers>
    <MediaLengthInSeconds xmlns="f3d35a40-bbea-43c8-99cf-c6b5d40b358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238F7A94183E74187B11190571C8356" ma:contentTypeVersion="15" ma:contentTypeDescription="Create a new document." ma:contentTypeScope="" ma:versionID="59a46c6966bb3902afd82eb023caf3dd">
  <xsd:schema xmlns:xsd="http://www.w3.org/2001/XMLSchema" xmlns:xs="http://www.w3.org/2001/XMLSchema" xmlns:p="http://schemas.microsoft.com/office/2006/metadata/properties" xmlns:ns2="f3d35a40-bbea-43c8-99cf-c6b5d40b3585" xmlns:ns3="01e94d65-ae71-498a-a453-e1c80605881d" targetNamespace="http://schemas.microsoft.com/office/2006/metadata/properties" ma:root="true" ma:fieldsID="60f54ad43a37c4f12bc83020f72e349f" ns2:_="" ns3:_="">
    <xsd:import namespace="f3d35a40-bbea-43c8-99cf-c6b5d40b3585"/>
    <xsd:import namespace="01e94d65-ae71-498a-a453-e1c8060588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d35a40-bbea-43c8-99cf-c6b5d40b35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e94d65-ae71-498a-a453-e1c80605881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1065693a-df8c-402d-996e-cf9ee50cbc90}" ma:internalName="TaxCatchAll" ma:showField="CatchAllData" ma:web="01e94d65-ae71-498a-a453-e1c8060588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73ED9B-A135-4073-9603-C359238DEB16}">
  <ds:schemaRefs>
    <ds:schemaRef ds:uri="http://schemas.microsoft.com/office/2006/metadata/properties"/>
    <ds:schemaRef ds:uri="http://schemas.microsoft.com/office/infopath/2007/PartnerControls"/>
    <ds:schemaRef ds:uri="01e94d65-ae71-498a-a453-e1c80605881d"/>
    <ds:schemaRef ds:uri="f3d35a40-bbea-43c8-99cf-c6b5d40b3585"/>
  </ds:schemaRefs>
</ds:datastoreItem>
</file>

<file path=customXml/itemProps2.xml><?xml version="1.0" encoding="utf-8"?>
<ds:datastoreItem xmlns:ds="http://schemas.openxmlformats.org/officeDocument/2006/customXml" ds:itemID="{9068A1EC-6C34-4307-998A-2BD5D989A1DC}"/>
</file>

<file path=customXml/itemProps3.xml><?xml version="1.0" encoding="utf-8"?>
<ds:datastoreItem xmlns:ds="http://schemas.openxmlformats.org/officeDocument/2006/customXml" ds:itemID="{3E6C5413-E7E9-4C8F-A21A-8400F498CE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Instruction</vt:lpstr>
      <vt:lpstr>Institution ID</vt:lpstr>
      <vt:lpstr>1-UG T&amp;F</vt:lpstr>
      <vt:lpstr>2-Revenue</vt:lpstr>
      <vt:lpstr>3-Financial Aid</vt:lpstr>
      <vt:lpstr>4-Academic-Financial</vt:lpstr>
      <vt:lpstr>4b - GF share</vt:lpstr>
      <vt:lpstr>5-Six-Year Pro Forma</vt:lpstr>
      <vt:lpstr>6-GF Request</vt:lpstr>
      <vt:lpstr>GF Request Categories</vt:lpstr>
      <vt:lpstr>Finance-Tuition Waivers</vt:lpstr>
      <vt:lpstr>Sheet1</vt:lpstr>
      <vt:lpstr>'4-Academic-Financial'!Print_Area</vt:lpstr>
      <vt:lpstr>'6-GF Request'!Print_Area</vt:lpstr>
      <vt:lpstr>'Finance-Tuition Waivers'!Print_Area</vt:lpstr>
      <vt:lpstr>'Institution ID'!Print_Area</vt:lpstr>
      <vt:lpstr>'4-Academic-Financial'!Print_Titles</vt:lpstr>
      <vt:lpstr>'6-GF Request'!Print_Titles</vt:lpstr>
      <vt:lpstr>'Finance-Tuition Waivers'!Print_Titles</vt:lpstr>
      <vt:lpstr>Rank</vt:lpstr>
      <vt:lpstr>YesNo</vt:lpstr>
    </vt:vector>
  </TitlesOfParts>
  <Manager/>
  <Company>Commonwealth of Virginia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YanZheng</dc:creator>
  <cp:keywords/>
  <dc:description/>
  <cp:lastModifiedBy>Long, Jacob</cp:lastModifiedBy>
  <cp:revision/>
  <dcterms:created xsi:type="dcterms:W3CDTF">2011-02-22T14:15:27Z</dcterms:created>
  <dcterms:modified xsi:type="dcterms:W3CDTF">2023-10-05T16:21:54Z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0x010100E238F7A94183E74187B11190571C8356</vt:lpwstr>
  </property>
  <property fmtid="{D5CDD505-2E9C-101B-9397-08002B2CF9AE}" pid="3" name="MediaServiceImageTags">
    <vt:lpwstr/>
  </property>
  <property fmtid="{D5CDD505-2E9C-101B-9397-08002B2CF9AE}" pid="4" name="MSIP_Label_b0d5c4f4-7a29-4385-b7a5-afbe2154ae6f_Enabled">
    <vt:lpwstr>true</vt:lpwstr>
  </property>
  <property fmtid="{D5CDD505-2E9C-101B-9397-08002B2CF9AE}" pid="5" name="MSIP_Label_b0d5c4f4-7a29-4385-b7a5-afbe2154ae6f_SetDate">
    <vt:lpwstr>2023-05-23T19:11:29Z</vt:lpwstr>
  </property>
  <property fmtid="{D5CDD505-2E9C-101B-9397-08002B2CF9AE}" pid="6" name="MSIP_Label_b0d5c4f4-7a29-4385-b7a5-afbe2154ae6f_Method">
    <vt:lpwstr>Standard</vt:lpwstr>
  </property>
  <property fmtid="{D5CDD505-2E9C-101B-9397-08002B2CF9AE}" pid="7" name="MSIP_Label_b0d5c4f4-7a29-4385-b7a5-afbe2154ae6f_Name">
    <vt:lpwstr>Confidential</vt:lpwstr>
  </property>
  <property fmtid="{D5CDD505-2E9C-101B-9397-08002B2CF9AE}" pid="8" name="MSIP_Label_b0d5c4f4-7a29-4385-b7a5-afbe2154ae6f_SiteId">
    <vt:lpwstr>2dfb2f0b-4d21-4268-9559-72926144c918</vt:lpwstr>
  </property>
  <property fmtid="{D5CDD505-2E9C-101B-9397-08002B2CF9AE}" pid="9" name="MSIP_Label_b0d5c4f4-7a29-4385-b7a5-afbe2154ae6f_ActionId">
    <vt:lpwstr>974741fb-b9bf-400f-90a2-85faa5a20194</vt:lpwstr>
  </property>
  <property fmtid="{D5CDD505-2E9C-101B-9397-08002B2CF9AE}" pid="10" name="MSIP_Label_b0d5c4f4-7a29-4385-b7a5-afbe2154ae6f_ContentBits">
    <vt:lpwstr>0</vt:lpwstr>
  </property>
  <property fmtid="{D5CDD505-2E9C-101B-9397-08002B2CF9AE}" pid="11" name="bcgClassification">
    <vt:lpwstr>bcgConfidential</vt:lpwstr>
  </property>
  <property fmtid="{D5CDD505-2E9C-101B-9397-08002B2CF9AE}" pid="12" name="Order">
    <vt:r8>219500</vt:r8>
  </property>
  <property fmtid="{D5CDD505-2E9C-101B-9397-08002B2CF9AE}" pid="13" name="ComplianceAssetId">
    <vt:lpwstr/>
  </property>
  <property fmtid="{D5CDD505-2E9C-101B-9397-08002B2CF9AE}" pid="14" name="_ExtendedDescription">
    <vt:lpwstr/>
  </property>
  <property fmtid="{D5CDD505-2E9C-101B-9397-08002B2CF9AE}" pid="15" name="TriggerFlowInfo">
    <vt:lpwstr/>
  </property>
  <property fmtid="{D5CDD505-2E9C-101B-9397-08002B2CF9AE}" pid="16" name="_SourceUrl">
    <vt:lpwstr/>
  </property>
  <property fmtid="{D5CDD505-2E9C-101B-9397-08002B2CF9AE}" pid="17" name="_SharedFileIndex">
    <vt:lpwstr/>
  </property>
</Properties>
</file>